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810"/>
  <workbookPr showInkAnnotation="0" autoCompressPictures="0"/>
  <bookViews>
    <workbookView xWindow="280" yWindow="0" windowWidth="22920" windowHeight="13540" tabRatio="500" firstSheet="1" activeTab="1"/>
  </bookViews>
  <sheets>
    <sheet name="Renovation ROI" sheetId="7" r:id="rId1"/>
    <sheet name="Purchase costs" sheetId="4" r:id="rId2"/>
    <sheet name="Ongoing costs" sheetId="5" r:id="rId3"/>
    <sheet name="Selling costs" sheetId="8" r:id="rId4"/>
    <sheet name="Investment cashflow and ROI" sheetId="1" r:id="rId5"/>
  </sheets>
  <definedNames>
    <definedName name="_xlnm.Print_Area" localSheetId="4">'Investment cashflow and ROI'!$B$2:$M$84</definedName>
    <definedName name="_xlnm.Print_Area" localSheetId="2">'Ongoing costs'!$B$2:$M$55</definedName>
    <definedName name="_xlnm.Print_Area" localSheetId="1">'Purchase costs'!$B$2:$M$44</definedName>
    <definedName name="_xlnm.Print_Area" localSheetId="0">'Renovation ROI'!$B$2:$M$84</definedName>
    <definedName name="_xlnm.Print_Area" localSheetId="3">'Selling costs'!$B$2:$M$32</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M18" i="8" l="1"/>
  <c r="J18" i="8"/>
  <c r="G18" i="8"/>
  <c r="D18" i="8"/>
  <c r="D26" i="8"/>
  <c r="D28" i="8"/>
  <c r="D30" i="8"/>
  <c r="M26" i="8"/>
  <c r="M28" i="8"/>
  <c r="J26" i="8"/>
  <c r="J28" i="8"/>
  <c r="G26" i="8"/>
  <c r="G28" i="8"/>
  <c r="J44" i="7"/>
  <c r="G44" i="7"/>
  <c r="D44" i="7"/>
  <c r="J78" i="7"/>
  <c r="G78" i="7"/>
  <c r="D78" i="7"/>
  <c r="C88" i="7"/>
  <c r="F88" i="7"/>
  <c r="I88" i="7"/>
  <c r="J88" i="7"/>
  <c r="G88" i="7"/>
  <c r="D88" i="7"/>
  <c r="D26" i="7"/>
  <c r="D31" i="7"/>
  <c r="D23" i="7"/>
  <c r="D24" i="7"/>
  <c r="D32" i="7"/>
  <c r="G26" i="7"/>
  <c r="G31" i="7"/>
  <c r="G23" i="7"/>
  <c r="G24" i="7"/>
  <c r="G32" i="7"/>
  <c r="G53" i="7"/>
  <c r="G57" i="7"/>
  <c r="G29" i="7"/>
  <c r="G60" i="7"/>
  <c r="G61" i="7"/>
  <c r="G74" i="7"/>
  <c r="G35" i="7"/>
  <c r="G36" i="7"/>
  <c r="G41" i="7"/>
  <c r="G72" i="7"/>
  <c r="G50" i="7"/>
  <c r="G73" i="7"/>
  <c r="G64" i="7"/>
  <c r="G69" i="7"/>
  <c r="G75" i="7"/>
  <c r="G76" i="7"/>
  <c r="G80" i="7"/>
  <c r="G82" i="7"/>
  <c r="G90" i="7"/>
  <c r="J26" i="7"/>
  <c r="J31" i="7"/>
  <c r="J23" i="7"/>
  <c r="J24" i="7"/>
  <c r="J32" i="7"/>
  <c r="J53" i="7"/>
  <c r="J57" i="7"/>
  <c r="J29" i="7"/>
  <c r="J60" i="7"/>
  <c r="J61" i="7"/>
  <c r="J74" i="7"/>
  <c r="J35" i="7"/>
  <c r="J36" i="7"/>
  <c r="J41" i="7"/>
  <c r="J72" i="7"/>
  <c r="J50" i="7"/>
  <c r="J73" i="7"/>
  <c r="J64" i="7"/>
  <c r="J69" i="7"/>
  <c r="J75" i="7"/>
  <c r="J76" i="7"/>
  <c r="J80" i="7"/>
  <c r="J82" i="7"/>
  <c r="J90" i="7"/>
  <c r="M50" i="7"/>
  <c r="M73" i="7"/>
  <c r="M35" i="7"/>
  <c r="M36" i="7"/>
  <c r="M41" i="7"/>
  <c r="M72" i="7"/>
  <c r="D35" i="7"/>
  <c r="D36" i="7"/>
  <c r="D41" i="7"/>
  <c r="D72" i="7"/>
  <c r="D53" i="7"/>
  <c r="D57" i="7"/>
  <c r="D29" i="7"/>
  <c r="D60" i="7"/>
  <c r="D61" i="7"/>
  <c r="D74" i="7"/>
  <c r="D64" i="7"/>
  <c r="D69" i="7"/>
  <c r="D75" i="7"/>
  <c r="D50" i="7"/>
  <c r="D73" i="7"/>
  <c r="D76" i="7"/>
  <c r="D80" i="7"/>
  <c r="D82" i="7"/>
  <c r="D90" i="7"/>
  <c r="M29" i="7"/>
  <c r="M61" i="7"/>
  <c r="M74" i="7"/>
  <c r="M64" i="7"/>
  <c r="M80" i="7"/>
  <c r="M69" i="7"/>
  <c r="M75" i="7"/>
  <c r="M26" i="7"/>
  <c r="M31" i="7"/>
  <c r="M24" i="7"/>
  <c r="M32" i="7"/>
  <c r="M76" i="7"/>
  <c r="M82" i="7"/>
  <c r="D52" i="5"/>
  <c r="G27" i="4"/>
  <c r="G19" i="4"/>
  <c r="G19" i="5"/>
  <c r="G20" i="5"/>
  <c r="G28" i="5"/>
  <c r="G31" i="5"/>
  <c r="D19" i="5"/>
  <c r="D20" i="5"/>
  <c r="D28" i="5"/>
  <c r="D31" i="5"/>
  <c r="D27" i="4"/>
  <c r="M22" i="5"/>
  <c r="M27" i="5"/>
  <c r="M20" i="5"/>
  <c r="M28" i="5"/>
  <c r="M25" i="5"/>
  <c r="J22" i="5"/>
  <c r="J27" i="5"/>
  <c r="J20" i="5"/>
  <c r="J28" i="5"/>
  <c r="J25" i="5"/>
  <c r="G22" i="5"/>
  <c r="G27" i="5"/>
  <c r="G25" i="5"/>
  <c r="D22" i="5"/>
  <c r="D27" i="5"/>
  <c r="D25" i="5"/>
  <c r="D22" i="1"/>
  <c r="D24" i="1"/>
  <c r="D29" i="1"/>
  <c r="D30" i="1"/>
  <c r="D19" i="4"/>
  <c r="M58" i="1"/>
  <c r="M55" i="1"/>
  <c r="D33" i="1"/>
  <c r="G33" i="1"/>
  <c r="J33" i="1"/>
  <c r="M33" i="1"/>
  <c r="M21" i="1"/>
  <c r="M19" i="4"/>
  <c r="M27" i="4"/>
  <c r="M41" i="5"/>
  <c r="M50" i="5"/>
  <c r="M53" i="5"/>
  <c r="M52" i="5"/>
  <c r="J41" i="5"/>
  <c r="J50" i="5"/>
  <c r="J53" i="5"/>
  <c r="J52" i="5"/>
  <c r="G41" i="5"/>
  <c r="G50" i="5"/>
  <c r="G53" i="5"/>
  <c r="G52" i="5"/>
  <c r="D41" i="5"/>
  <c r="D50" i="5"/>
  <c r="D53" i="5"/>
  <c r="M28" i="4"/>
  <c r="J28" i="4"/>
  <c r="G28" i="4"/>
  <c r="D28" i="4"/>
  <c r="M42" i="4"/>
  <c r="M24" i="4"/>
  <c r="M39" i="4"/>
  <c r="M41" i="4"/>
  <c r="J42" i="4"/>
  <c r="J24" i="4"/>
  <c r="J39" i="4"/>
  <c r="J41" i="4"/>
  <c r="G42" i="4"/>
  <c r="G24" i="4"/>
  <c r="G39" i="4"/>
  <c r="G41" i="4"/>
  <c r="D42" i="4"/>
  <c r="D24" i="4"/>
  <c r="D39" i="4"/>
  <c r="D41" i="4"/>
  <c r="I75" i="1"/>
  <c r="F75" i="1"/>
  <c r="C75" i="1"/>
  <c r="M27" i="1"/>
  <c r="M60" i="1"/>
  <c r="M49" i="1"/>
  <c r="M59" i="1"/>
  <c r="M61" i="1"/>
  <c r="M64" i="1"/>
  <c r="M65" i="1"/>
  <c r="G22" i="1"/>
  <c r="G24" i="1"/>
  <c r="G29" i="1"/>
  <c r="G30" i="1"/>
  <c r="G66" i="1"/>
  <c r="G27" i="1"/>
  <c r="G60" i="1"/>
  <c r="G49" i="1"/>
  <c r="G59" i="1"/>
  <c r="G65" i="1"/>
  <c r="G67" i="1"/>
  <c r="G64" i="1"/>
  <c r="J49" i="1"/>
  <c r="J64" i="1"/>
  <c r="J61" i="1"/>
  <c r="J27" i="1"/>
  <c r="J60" i="1"/>
  <c r="J59" i="1"/>
  <c r="G61" i="1"/>
  <c r="D49" i="1"/>
  <c r="M40" i="1"/>
  <c r="J40" i="1"/>
  <c r="G40" i="1"/>
  <c r="M24" i="1"/>
  <c r="M29" i="1"/>
  <c r="M22" i="1"/>
  <c r="M30" i="1"/>
  <c r="J24" i="1"/>
  <c r="J29" i="1"/>
  <c r="J22" i="1"/>
  <c r="J30" i="1"/>
  <c r="D75" i="1"/>
  <c r="D59" i="1"/>
  <c r="D27" i="1"/>
  <c r="D60" i="1"/>
  <c r="D61" i="1"/>
  <c r="D64" i="1"/>
  <c r="D65" i="1"/>
  <c r="D66" i="1"/>
  <c r="D67" i="1"/>
  <c r="D70" i="1"/>
  <c r="D73" i="1"/>
  <c r="D74" i="1"/>
  <c r="D77" i="1"/>
  <c r="M75" i="1"/>
  <c r="J75" i="1"/>
  <c r="G75" i="1"/>
  <c r="M66" i="1"/>
  <c r="M67" i="1"/>
  <c r="M70" i="1"/>
  <c r="M73" i="1"/>
  <c r="M74" i="1"/>
  <c r="M77" i="1"/>
  <c r="M79" i="1"/>
  <c r="M81" i="1"/>
  <c r="M82" i="1"/>
  <c r="J65" i="1"/>
  <c r="J66" i="1"/>
  <c r="J67" i="1"/>
  <c r="J70" i="1"/>
  <c r="J73" i="1"/>
  <c r="J74" i="1"/>
  <c r="J77" i="1"/>
  <c r="J79" i="1"/>
  <c r="J81" i="1"/>
  <c r="J82" i="1"/>
  <c r="G70" i="1"/>
  <c r="G73" i="1"/>
  <c r="G74" i="1"/>
  <c r="G77" i="1"/>
  <c r="G79" i="1"/>
  <c r="G81" i="1"/>
  <c r="G82" i="1"/>
  <c r="D40" i="1"/>
  <c r="D79" i="1"/>
  <c r="D81" i="1"/>
  <c r="D82" i="1"/>
</calcChain>
</file>

<file path=xl/comments1.xml><?xml version="1.0" encoding="utf-8"?>
<comments xmlns="http://schemas.openxmlformats.org/spreadsheetml/2006/main">
  <authors>
    <author>Jason Hutchison</author>
  </authors>
  <commentList>
    <comment ref="B25" authorId="0">
      <text>
        <r>
          <rPr>
            <sz val="11"/>
            <color indexed="81"/>
            <rFont val="Helvetica"/>
          </rPr>
          <t>If you selected a variable interest rate, estimate the average interest rate over the term of the mortgage.</t>
        </r>
      </text>
    </comment>
    <comment ref="B28" authorId="0">
      <text>
        <r>
          <rPr>
            <sz val="11"/>
            <color indexed="81"/>
            <rFont val="Helvetica"/>
          </rPr>
          <t>Assumes monthly mortgage payments as a conservative measure.</t>
        </r>
        <r>
          <rPr>
            <sz val="12"/>
            <color indexed="81"/>
            <rFont val="Calibri"/>
            <family val="2"/>
          </rPr>
          <t xml:space="preserve">
</t>
        </r>
      </text>
    </comment>
    <comment ref="B57" authorId="0">
      <text>
        <r>
          <rPr>
            <sz val="11"/>
            <color indexed="81"/>
            <rFont val="Helvetica"/>
          </rPr>
          <t>Divide the annual cost by 12.</t>
        </r>
      </text>
    </comment>
    <comment ref="B59" authorId="0">
      <text>
        <r>
          <rPr>
            <sz val="11"/>
            <color indexed="81"/>
            <rFont val="Helvetica"/>
          </rPr>
          <t>Divide the annual cost by 12.</t>
        </r>
      </text>
    </comment>
    <comment ref="C74" authorId="0">
      <text>
        <r>
          <rPr>
            <sz val="11"/>
            <color indexed="81"/>
            <rFont val="Helvetica"/>
          </rPr>
          <t>Estimated number of months the property will be vacant.</t>
        </r>
      </text>
    </comment>
    <comment ref="D82" authorId="0">
      <text>
        <r>
          <rPr>
            <sz val="11"/>
            <color indexed="81"/>
            <rFont val="Helvetica"/>
          </rPr>
          <t>Does not include corporate taxation.</t>
        </r>
      </text>
    </comment>
    <comment ref="B88" authorId="0">
      <text>
        <r>
          <rPr>
            <sz val="11"/>
            <color indexed="81"/>
            <rFont val="Helvetica"/>
          </rPr>
          <t>HPI adjusted downward by 20% due to the HPI figure being based on a condo built in 2002.</t>
        </r>
        <r>
          <rPr>
            <sz val="9"/>
            <color indexed="81"/>
            <rFont val="Calibri"/>
            <family val="2"/>
          </rPr>
          <t xml:space="preserve">
</t>
        </r>
      </text>
    </comment>
  </commentList>
</comments>
</file>

<file path=xl/comments2.xml><?xml version="1.0" encoding="utf-8"?>
<comments xmlns="http://schemas.openxmlformats.org/spreadsheetml/2006/main">
  <authors>
    <author>Jason Hutchison</author>
  </authors>
  <commentList>
    <comment ref="B19" authorId="0">
      <text>
        <r>
          <rPr>
            <sz val="11"/>
            <color indexed="81"/>
            <rFont val="Helvetica"/>
          </rPr>
          <t>Your cash deposit to demonstrate you are committed to purchasing the condo. It will be held in trust until completion day and become part of your downpayment.</t>
        </r>
        <r>
          <rPr>
            <sz val="9"/>
            <color indexed="81"/>
            <rFont val="Helvetica"/>
          </rPr>
          <t xml:space="preserve">
</t>
        </r>
      </text>
    </comment>
    <comment ref="B20" authorId="0">
      <text>
        <r>
          <rPr>
            <sz val="11"/>
            <color indexed="81"/>
            <rFont val="Helvetica"/>
          </rPr>
          <t>Having the building and condo inspected is a prudent part of your due diligence.</t>
        </r>
      </text>
    </comment>
    <comment ref="B21" authorId="0">
      <text>
        <r>
          <rPr>
            <sz val="11"/>
            <color indexed="81"/>
            <rFont val="Helvetica"/>
          </rPr>
          <t>Your lender may require an appraisal of the condo to ensure they are not over lending on the property.</t>
        </r>
      </text>
    </comment>
    <comment ref="B27" authorId="0">
      <text>
        <r>
          <rPr>
            <sz val="11"/>
            <color indexed="81"/>
            <rFont val="Helvetica"/>
          </rPr>
          <t>The amount of cash you will pay towards the purchase price of the condo in addition to your deposit.</t>
        </r>
      </text>
    </comment>
    <comment ref="B28" authorId="0">
      <text>
        <r>
          <rPr>
            <sz val="11"/>
            <color indexed="81"/>
            <rFont val="Helvetica"/>
          </rPr>
          <t>BC government tax on home sales. There are exemptions for some buyers when purchasing resale condos valued up to $500,000 or new condos up to $800,000. It is calculated as 2% on first $200,000 plus 2% on the portion between $200,000 and $2m plus 3% on the portion above $2m.</t>
        </r>
      </text>
    </comment>
    <comment ref="B30" authorId="0">
      <text>
        <r>
          <rPr>
            <sz val="11"/>
            <color indexed="81"/>
            <rFont val="Helvetica"/>
          </rPr>
          <t>GST is payable on new homes but not homes previously occupied (confirm with your lawyer whether GST is payable on condos that have not previously been occupied). There are some discounts for new homes valued up to $450,000.</t>
        </r>
      </text>
    </comment>
    <comment ref="B31" authorId="0">
      <text>
        <r>
          <rPr>
            <sz val="11"/>
            <color indexed="81"/>
            <rFont val="Helvetica"/>
          </rPr>
          <t>They transfer ownership and money between the seller and you. Notary publics usually charge a little less than lawyers but are less able to advise you should issues arise.</t>
        </r>
      </text>
    </comment>
    <comment ref="B32" authorId="0">
      <text>
        <r>
          <rPr>
            <sz val="11"/>
            <color indexed="81"/>
            <rFont val="Helvetica"/>
          </rPr>
          <t>If your downpayment is less than 20% of the purchase price, your mortgage must be insured (see Understand how mortgages work).</t>
        </r>
      </text>
    </comment>
    <comment ref="B33" authorId="0">
      <text>
        <r>
          <rPr>
            <sz val="11"/>
            <color indexed="81"/>
            <rFont val="Helvetica"/>
          </rPr>
          <t>There may be costs with your existing mortgage (if any), such as ending it early or porting it over to your new home.</t>
        </r>
      </text>
    </comment>
    <comment ref="B34" authorId="0">
      <text>
        <r>
          <rPr>
            <sz val="11"/>
            <color indexed="81"/>
            <rFont val="Helvetica"/>
          </rPr>
          <t>If the seller has prepaid any home-related expenses (for example, property taxes and strata fees) for when you possess the home, you will reimburse them and vice versa.</t>
        </r>
      </text>
    </comment>
    <comment ref="B35" authorId="0">
      <text>
        <r>
          <rPr>
            <sz val="11"/>
            <color indexed="81"/>
            <rFont val="Helvetica"/>
          </rPr>
          <t>It is wise to insure your condo improvements and contents against fire, water and other damage as well as the deductibles of the insurance the Strata Corporation carries for the building.</t>
        </r>
      </text>
    </comment>
    <comment ref="B36" authorId="0">
      <text>
        <r>
          <rPr>
            <sz val="11"/>
            <color indexed="81"/>
            <rFont val="Helvetica"/>
          </rPr>
          <t>Optional insurance offered through your lawyer or notary to protect you against any defects in the property title.</t>
        </r>
      </text>
    </comment>
  </commentList>
</comments>
</file>

<file path=xl/comments3.xml><?xml version="1.0" encoding="utf-8"?>
<comments xmlns="http://schemas.openxmlformats.org/spreadsheetml/2006/main">
  <authors>
    <author>Jason Hutchison</author>
  </authors>
  <commentList>
    <comment ref="B21" authorId="0">
      <text>
        <r>
          <rPr>
            <sz val="11"/>
            <color indexed="81"/>
            <rFont val="Helvetica"/>
          </rPr>
          <t>If you selected a variable interest rate, estimate the average interest rate over the term of the mortgage.</t>
        </r>
      </text>
    </comment>
    <comment ref="B24" authorId="0">
      <text>
        <r>
          <rPr>
            <sz val="11"/>
            <color indexed="81"/>
            <rFont val="Helvetica"/>
          </rPr>
          <t>Assumes monthly mortgage payments as a conservative measure.</t>
        </r>
        <r>
          <rPr>
            <sz val="12"/>
            <color indexed="81"/>
            <rFont val="Calibri"/>
            <family val="2"/>
          </rPr>
          <t xml:space="preserve">
</t>
        </r>
      </text>
    </comment>
    <comment ref="B31" authorId="0">
      <text>
        <r>
          <rPr>
            <sz val="11"/>
            <color indexed="81"/>
            <rFont val="Helvetica"/>
          </rPr>
          <t>Your scheduled mortgage payments are applied against interest and principal. You can also choose to make additional payments when able.</t>
        </r>
      </text>
    </comment>
    <comment ref="B32" authorId="0">
      <text>
        <r>
          <rPr>
            <sz val="11"/>
            <color indexed="81"/>
            <rFont val="Helvetica"/>
          </rPr>
          <t>You will pay the Strata Corporation to maintain the common areas of the building.</t>
        </r>
      </text>
    </comment>
    <comment ref="B37" authorId="0">
      <text>
        <r>
          <rPr>
            <sz val="11"/>
            <color indexed="81"/>
            <rFont val="Helvetica"/>
          </rPr>
          <t>If you have gas, the cost may be included in your monthly strata maintenance fee.</t>
        </r>
      </text>
    </comment>
    <comment ref="B44" authorId="0">
      <text>
        <r>
          <rPr>
            <sz val="11"/>
            <color indexed="81"/>
            <rFont val="Helvetica"/>
          </rPr>
          <t>Your municipality will charge you to pay for schools, roads and other municipal functions.</t>
        </r>
        <r>
          <rPr>
            <sz val="9"/>
            <color indexed="81"/>
            <rFont val="Calibri"/>
            <family val="2"/>
          </rPr>
          <t xml:space="preserve">
</t>
        </r>
      </text>
    </comment>
    <comment ref="B45" authorId="0">
      <text>
        <r>
          <rPr>
            <sz val="11"/>
            <color indexed="81"/>
            <rFont val="Helvetica"/>
          </rPr>
          <t>BC government tax on home sales. There are exemptions for some buyers when purchasing condos valued up to $500,000.</t>
        </r>
      </text>
    </comment>
    <comment ref="B46" authorId="0">
      <text>
        <r>
          <rPr>
            <sz val="11"/>
            <color indexed="81"/>
            <rFont val="Helvetica"/>
          </rPr>
          <t>You may choose to carry insurance in case of injury or death. Policies vary in terms of coverage.</t>
        </r>
      </text>
    </comment>
  </commentList>
</comments>
</file>

<file path=xl/comments4.xml><?xml version="1.0" encoding="utf-8"?>
<comments xmlns="http://schemas.openxmlformats.org/spreadsheetml/2006/main">
  <authors>
    <author>Jason Hutchison</author>
  </authors>
  <commentList>
    <comment ref="B19" authorId="0">
      <text>
        <r>
          <rPr>
            <sz val="11"/>
            <color indexed="81"/>
            <rFont val="Helvetica"/>
          </rPr>
          <t>They transfer ownership and money between the seller and you. Notary publics usually charge a little less than lawyers but are less able to advise you should issues arise.</t>
        </r>
      </text>
    </comment>
    <comment ref="B20" authorId="0">
      <text>
        <r>
          <rPr>
            <sz val="11"/>
            <color indexed="81"/>
            <rFont val="Helvetica"/>
          </rPr>
          <t>There may be costs with your existing mortgage (if any), such as ending it early or porting it over to your new home.</t>
        </r>
      </text>
    </comment>
  </commentList>
</comments>
</file>

<file path=xl/comments5.xml><?xml version="1.0" encoding="utf-8"?>
<comments xmlns="http://schemas.openxmlformats.org/spreadsheetml/2006/main">
  <authors>
    <author>Jason Hutchison</author>
  </authors>
  <commentList>
    <comment ref="B23" authorId="0">
      <text>
        <r>
          <rPr>
            <sz val="11"/>
            <color indexed="81"/>
            <rFont val="Helvetica"/>
          </rPr>
          <t>If you selected a variable interest rate, estimate the average interest rate over the term of the mortgage.</t>
        </r>
      </text>
    </comment>
    <comment ref="B26" authorId="0">
      <text>
        <r>
          <rPr>
            <sz val="11"/>
            <color indexed="81"/>
            <rFont val="Helvetica"/>
          </rPr>
          <t>Assumes monthly mortgage payments as a conservative measure.</t>
        </r>
        <r>
          <rPr>
            <sz val="12"/>
            <color indexed="81"/>
            <rFont val="Calibri"/>
            <family val="2"/>
          </rPr>
          <t xml:space="preserve">
</t>
        </r>
      </text>
    </comment>
    <comment ref="B38" authorId="0">
      <text>
        <r>
          <rPr>
            <sz val="11"/>
            <color indexed="81"/>
            <rFont val="Helvetica"/>
          </rPr>
          <t>These repairs are required to maintain the current rents, for instance, correcting an unsafe stair railing.</t>
        </r>
      </text>
    </comment>
    <comment ref="B55" authorId="0">
      <text>
        <r>
          <rPr>
            <sz val="11"/>
            <color indexed="81"/>
            <rFont val="Helvetica"/>
          </rPr>
          <t>Divide the annual cost by 12.</t>
        </r>
      </text>
    </comment>
    <comment ref="B58" authorId="0">
      <text>
        <r>
          <rPr>
            <sz val="11"/>
            <color indexed="81"/>
            <rFont val="Helvetica"/>
          </rPr>
          <t>Divide the annual cost by 12.</t>
        </r>
      </text>
    </comment>
    <comment ref="B59" authorId="0">
      <text>
        <r>
          <rPr>
            <sz val="11"/>
            <color indexed="81"/>
            <rFont val="Helvetica"/>
          </rPr>
          <t>Enter a percentage of the total income.</t>
        </r>
      </text>
    </comment>
    <comment ref="B61" authorId="0">
      <text>
        <r>
          <rPr>
            <sz val="11"/>
            <color indexed="81"/>
            <rFont val="Helvetica"/>
          </rPr>
          <t>Enter a percentage of the total income.</t>
        </r>
        <r>
          <rPr>
            <sz val="12"/>
            <color indexed="81"/>
            <rFont val="Calibri"/>
            <family val="2"/>
          </rPr>
          <t xml:space="preserve">
</t>
        </r>
      </text>
    </comment>
    <comment ref="B64" authorId="0">
      <text>
        <r>
          <rPr>
            <sz val="11"/>
            <color indexed="81"/>
            <rFont val="Helvetica"/>
          </rPr>
          <t>Enter a percentage of the total income.</t>
        </r>
        <r>
          <rPr>
            <sz val="12"/>
            <color indexed="81"/>
            <rFont val="Calibri"/>
            <family val="2"/>
          </rPr>
          <t xml:space="preserve">
</t>
        </r>
      </text>
    </comment>
    <comment ref="B76" authorId="0">
      <text>
        <r>
          <rPr>
            <sz val="11"/>
            <color indexed="81"/>
            <rFont val="Helvetica"/>
          </rPr>
          <t>Value if you purchased the home at a discount.</t>
        </r>
      </text>
    </comment>
    <comment ref="B79" authorId="0">
      <text>
        <r>
          <rPr>
            <sz val="11"/>
            <color indexed="81"/>
            <rFont val="Helvetica"/>
          </rPr>
          <t>Includes closing costs and immediate repair costs.</t>
        </r>
      </text>
    </comment>
  </commentList>
</comments>
</file>

<file path=xl/sharedStrings.xml><?xml version="1.0" encoding="utf-8"?>
<sst xmlns="http://schemas.openxmlformats.org/spreadsheetml/2006/main" count="263" uniqueCount="166">
  <si>
    <t>Cashflow and Return on Investment Calculator</t>
  </si>
  <si>
    <t>Property</t>
  </si>
  <si>
    <t>Number of doors (suites)</t>
  </si>
  <si>
    <t>Year built</t>
  </si>
  <si>
    <t>Purchase price</t>
  </si>
  <si>
    <t>Mortgage Information</t>
  </si>
  <si>
    <t>Downpayment</t>
  </si>
  <si>
    <t>Mortgage amount</t>
  </si>
  <si>
    <t>Interest rate</t>
  </si>
  <si>
    <t>Interest per payment</t>
  </si>
  <si>
    <t>Mortgage term (years)</t>
  </si>
  <si>
    <t>Payments per year (monthly)</t>
  </si>
  <si>
    <t>Payments per mortgage term</t>
  </si>
  <si>
    <t>Amoritization period (years)</t>
  </si>
  <si>
    <t>Payments per amoritization</t>
  </si>
  <si>
    <t>Monthly payments</t>
  </si>
  <si>
    <t>Immediate Costs (total)</t>
  </si>
  <si>
    <t>Property transfer tax</t>
  </si>
  <si>
    <t>Legal (Lawyer or Notary)</t>
  </si>
  <si>
    <t>Appraisal for mortgage (if required)</t>
  </si>
  <si>
    <t>Home inspection</t>
  </si>
  <si>
    <t>Repairs - immediately required</t>
  </si>
  <si>
    <t>Total immediate costs</t>
  </si>
  <si>
    <t>Income (monthly basis)</t>
  </si>
  <si>
    <t>Rent - Suite 1</t>
  </si>
  <si>
    <t>Rent - Suite 2</t>
  </si>
  <si>
    <t>Rent - Suite 3</t>
  </si>
  <si>
    <t>Rent - Suite 4</t>
  </si>
  <si>
    <t>Rent - Suite 5</t>
  </si>
  <si>
    <t>Other income (parking, laundry)</t>
  </si>
  <si>
    <t>Total income</t>
  </si>
  <si>
    <t>Expenses (monthly basis)</t>
  </si>
  <si>
    <t>Heating</t>
  </si>
  <si>
    <t>Electricity</t>
  </si>
  <si>
    <t>Cable/phone/internet</t>
  </si>
  <si>
    <t>Municipal taxes</t>
  </si>
  <si>
    <t>Water/Sewer (if not incl in Municipal taxes)</t>
  </si>
  <si>
    <t>Monthly strata fee</t>
  </si>
  <si>
    <t>Home insurance</t>
  </si>
  <si>
    <t>Repairs and maintenance - ongoing</t>
  </si>
  <si>
    <t>Other immediate costs</t>
  </si>
  <si>
    <t>Property Management</t>
  </si>
  <si>
    <t>Bookkeeping</t>
  </si>
  <si>
    <t>Rental pool management</t>
  </si>
  <si>
    <t>Vacancy allowance</t>
  </si>
  <si>
    <t>Subtotal expenses</t>
  </si>
  <si>
    <t>Mortgage payment</t>
  </si>
  <si>
    <t>Total expenses</t>
  </si>
  <si>
    <t>Net Income (monthly basis)</t>
  </si>
  <si>
    <t>Income minus expenses</t>
  </si>
  <si>
    <t>Term ROI = cashflow + mortgage paydown + appreciation + existing equity (if purchased below market value)</t>
  </si>
  <si>
    <t>Cashflow</t>
  </si>
  <si>
    <t>Mortgage paydown</t>
  </si>
  <si>
    <t>Appreciation per year</t>
  </si>
  <si>
    <t>Existing equity</t>
  </si>
  <si>
    <t>Term ROI</t>
  </si>
  <si>
    <t>Cash investment</t>
  </si>
  <si>
    <t>Return over mortgage term</t>
  </si>
  <si>
    <t>Annual return</t>
  </si>
  <si>
    <t>Feel free to contact me with questions.</t>
  </si>
  <si>
    <t>Notes</t>
  </si>
  <si>
    <t>Subtotal</t>
  </si>
  <si>
    <t>Payable during the subject removal phase (Step 5)</t>
  </si>
  <si>
    <t>Payable on completion day (Step 6)</t>
  </si>
  <si>
    <t>Vancouver Real Estate System</t>
  </si>
  <si>
    <t>Purchase Costs Calculator</t>
  </si>
  <si>
    <t>Subtotal for Step 5</t>
  </si>
  <si>
    <t>Subtotal for Step 6</t>
  </si>
  <si>
    <t>Ongoing Costs Calculator</t>
  </si>
  <si>
    <t>Payable monthly</t>
  </si>
  <si>
    <t>Payable annually</t>
  </si>
  <si>
    <t>Other</t>
  </si>
  <si>
    <t>Example</t>
  </si>
  <si>
    <t>Residence address</t>
  </si>
  <si>
    <t>Property address</t>
  </si>
  <si>
    <t>Enter data in the blue cells and the other cells will be automatically calculated.</t>
  </si>
  <si>
    <t>This worksheet will help you estimate your total costs when purchasing a condo.</t>
  </si>
  <si>
    <t>This worksheet will help you estimate your ongoing costs during condo ownership.</t>
  </si>
  <si>
    <t>Although this information has been received from sources deemed reliable, we assume no responsibility for its accuracy and without offering advice, make this submission to prior sale or lease, change in price or terms, and withdrawal without notice. Last updated February 8, 2016</t>
  </si>
  <si>
    <t>Municipal property taxes</t>
  </si>
  <si>
    <t>Yaletown condo</t>
  </si>
  <si>
    <t>1 bedroom, 1 bathroom, 608 sqft, 1 parking</t>
  </si>
  <si>
    <t>2 bed 2 bath luxury</t>
  </si>
  <si>
    <t>Approximate mortgage required</t>
  </si>
  <si>
    <t>Approximate total payable per month</t>
  </si>
  <si>
    <t>Approximate total payable per year</t>
  </si>
  <si>
    <t>2803 535 Smithe</t>
  </si>
  <si>
    <t>Comments</t>
  </si>
  <si>
    <t>This example shows the downpayment required to have a $2000/month payment (mortgage plus strata fee).</t>
  </si>
  <si>
    <t>This example shows the monthly payment required with only a 20% downpayment.</t>
  </si>
  <si>
    <t>This example shows the purchase costs associated with a 20% downpayment.</t>
  </si>
  <si>
    <t>This example shows the purchase costs associated with a $2000/month payment (mortgage plus strata fee).</t>
  </si>
  <si>
    <r>
      <t xml:space="preserve">cell  </t>
    </r>
    <r>
      <rPr>
        <sz val="12"/>
        <color rgb="FF366092"/>
        <rFont val="Helvetica"/>
      </rPr>
      <t xml:space="preserve">604.314.7138      </t>
    </r>
    <r>
      <rPr>
        <sz val="12"/>
        <rFont val="Helvetica"/>
      </rPr>
      <t xml:space="preserve">email </t>
    </r>
    <r>
      <rPr>
        <sz val="12"/>
        <color rgb="FF366092"/>
        <rFont val="Helvetica"/>
      </rPr>
      <t xml:space="preserve"> jason@jasonhutchison.ca     </t>
    </r>
    <r>
      <rPr>
        <sz val="12"/>
        <rFont val="Helvetica"/>
      </rPr>
      <t xml:space="preserve"> website </t>
    </r>
    <r>
      <rPr>
        <sz val="12"/>
        <color rgb="FF366092"/>
        <rFont val="Helvetica"/>
      </rPr>
      <t xml:space="preserve"> www.jasonhutchison.ca</t>
    </r>
  </si>
  <si>
    <r>
      <t xml:space="preserve">Mortgage payments </t>
    </r>
    <r>
      <rPr>
        <sz val="10"/>
        <color theme="1"/>
        <rFont val="Helvetica"/>
      </rPr>
      <t>(variable</t>
    </r>
    <r>
      <rPr>
        <sz val="12"/>
        <color theme="1"/>
        <rFont val="Helvetica"/>
      </rPr>
      <t>)</t>
    </r>
  </si>
  <si>
    <r>
      <t>Strata maintenance fee</t>
    </r>
    <r>
      <rPr>
        <sz val="10"/>
        <color theme="1"/>
        <rFont val="Helvetica"/>
      </rPr>
      <t xml:space="preserve"> (variable)</t>
    </r>
  </si>
  <si>
    <r>
      <t>Internet</t>
    </r>
    <r>
      <rPr>
        <sz val="10"/>
        <color theme="1"/>
        <rFont val="Helvetica"/>
      </rPr>
      <t xml:space="preserve"> (variable)</t>
    </r>
  </si>
  <si>
    <r>
      <t>Cable</t>
    </r>
    <r>
      <rPr>
        <sz val="10"/>
        <color theme="1"/>
        <rFont val="Helvetica"/>
      </rPr>
      <t xml:space="preserve"> (variable)</t>
    </r>
  </si>
  <si>
    <r>
      <t>Phone</t>
    </r>
    <r>
      <rPr>
        <sz val="10"/>
        <color theme="1"/>
        <rFont val="Helvetica"/>
      </rPr>
      <t xml:space="preserve"> (variable)</t>
    </r>
  </si>
  <si>
    <r>
      <t>Electricity</t>
    </r>
    <r>
      <rPr>
        <sz val="10"/>
        <color theme="1"/>
        <rFont val="Helvetica"/>
      </rPr>
      <t xml:space="preserve"> (variable)</t>
    </r>
  </si>
  <si>
    <r>
      <t>Gas</t>
    </r>
    <r>
      <rPr>
        <sz val="10"/>
        <color theme="1"/>
        <rFont val="Helvetica"/>
      </rPr>
      <t xml:space="preserve"> (variable)</t>
    </r>
  </si>
  <si>
    <r>
      <t xml:space="preserve">Property insurance </t>
    </r>
    <r>
      <rPr>
        <sz val="10"/>
        <color theme="1"/>
        <rFont val="Helvetica"/>
      </rPr>
      <t>($450 and up)</t>
    </r>
  </si>
  <si>
    <r>
      <t xml:space="preserve">Life and illness insurance </t>
    </r>
    <r>
      <rPr>
        <sz val="10"/>
        <color theme="1"/>
        <rFont val="Helvetica"/>
      </rPr>
      <t>(variable)</t>
    </r>
  </si>
  <si>
    <r>
      <t xml:space="preserve">Deposit </t>
    </r>
    <r>
      <rPr>
        <sz val="10"/>
        <color theme="1"/>
        <rFont val="Helvetica"/>
      </rPr>
      <t>(typically 5% of purchase price</t>
    </r>
    <r>
      <rPr>
        <sz val="12"/>
        <color theme="1"/>
        <rFont val="Helvetica"/>
      </rPr>
      <t>)</t>
    </r>
  </si>
  <si>
    <r>
      <t>Home inspection</t>
    </r>
    <r>
      <rPr>
        <sz val="10"/>
        <color theme="1"/>
        <rFont val="Helvetica"/>
      </rPr>
      <t xml:space="preserve"> ($400-550)</t>
    </r>
  </si>
  <si>
    <r>
      <t>Appraisal for mortgage</t>
    </r>
    <r>
      <rPr>
        <sz val="10"/>
        <color theme="1"/>
        <rFont val="Helvetica"/>
      </rPr>
      <t xml:space="preserve"> ($150-300)</t>
    </r>
  </si>
  <si>
    <r>
      <t>Balance of downpayment</t>
    </r>
    <r>
      <rPr>
        <sz val="10"/>
        <color theme="1"/>
        <rFont val="Helvetica"/>
      </rPr>
      <t xml:space="preserve"> (in addition to deposit)</t>
    </r>
  </si>
  <si>
    <r>
      <t xml:space="preserve">Property Transfer Tax </t>
    </r>
    <r>
      <rPr>
        <sz val="10"/>
        <color theme="1"/>
        <rFont val="Helvetica"/>
      </rPr>
      <t>(approximately 2%)</t>
    </r>
  </si>
  <si>
    <r>
      <t>New home tax</t>
    </r>
    <r>
      <rPr>
        <sz val="10"/>
        <color theme="1"/>
        <rFont val="Helvetica"/>
      </rPr>
      <t xml:space="preserve"> (5%)</t>
    </r>
  </si>
  <si>
    <r>
      <t xml:space="preserve">Lawyer or notary </t>
    </r>
    <r>
      <rPr>
        <sz val="10"/>
        <color theme="1"/>
        <rFont val="Helvetica"/>
      </rPr>
      <t>($800-1200)</t>
    </r>
  </si>
  <si>
    <r>
      <t>High ratio mortgage insurance</t>
    </r>
    <r>
      <rPr>
        <sz val="10"/>
        <color theme="1"/>
        <rFont val="Helvetica"/>
      </rPr>
      <t xml:space="preserve"> (0.6-5.65%)</t>
    </r>
  </si>
  <si>
    <r>
      <t xml:space="preserve">Existing mortgage penalties </t>
    </r>
    <r>
      <rPr>
        <sz val="10"/>
        <color theme="1"/>
        <rFont val="Helvetica"/>
      </rPr>
      <t>(variable)</t>
    </r>
  </si>
  <si>
    <r>
      <t xml:space="preserve">Prepaid taxes and other costs </t>
    </r>
    <r>
      <rPr>
        <sz val="10"/>
        <rFont val="Helvetica"/>
      </rPr>
      <t>(variable)</t>
    </r>
  </si>
  <si>
    <r>
      <t xml:space="preserve">Property insurance </t>
    </r>
    <r>
      <rPr>
        <sz val="10"/>
        <rFont val="Helvetica"/>
      </rPr>
      <t>($450 and up)</t>
    </r>
  </si>
  <si>
    <r>
      <t xml:space="preserve">Title insurance </t>
    </r>
    <r>
      <rPr>
        <sz val="10"/>
        <rFont val="Helvetica"/>
      </rPr>
      <t>($250 and up)</t>
    </r>
  </si>
  <si>
    <t xml:space="preserve">This worksheet will help you estimate cashflow and ROI for an investment property. </t>
  </si>
  <si>
    <r>
      <t>Mortgage Information</t>
    </r>
    <r>
      <rPr>
        <sz val="12"/>
        <rFont val="Helvetica"/>
      </rPr>
      <t xml:space="preserve"> (to calculate the mortgage payment on line 31, if not already known)</t>
    </r>
  </si>
  <si>
    <t xml:space="preserve">Moving </t>
  </si>
  <si>
    <t>Renovation ROI Calculator</t>
  </si>
  <si>
    <t>Total costs</t>
  </si>
  <si>
    <t>Sale price</t>
  </si>
  <si>
    <t xml:space="preserve">Total revenue </t>
  </si>
  <si>
    <t>Profit</t>
  </si>
  <si>
    <t>Mortgage/financing payment</t>
  </si>
  <si>
    <t>1006 950 Cambie</t>
  </si>
  <si>
    <t>Total sales costs</t>
  </si>
  <si>
    <t>Staging</t>
  </si>
  <si>
    <t>Other revenue</t>
  </si>
  <si>
    <t>Gross profit</t>
  </si>
  <si>
    <t>Sales costs (total)</t>
  </si>
  <si>
    <t>Renovation costs (total)</t>
  </si>
  <si>
    <t>Expenses during ownership (monthly)</t>
  </si>
  <si>
    <t>Although this information has been received from sources deemed reliable, we assume no responsibility for its accuracy and without offering advice, make this submission to prior sale or lease, change in price or terms, and withdrawal without notice. Last updated August 8, 2016.</t>
  </si>
  <si>
    <t>Mortgage cancellation penalty</t>
  </si>
  <si>
    <t>Total monthly costs</t>
  </si>
  <si>
    <t>Total renovation costs</t>
  </si>
  <si>
    <t>Total purchase costs</t>
  </si>
  <si>
    <t>Condo sale price</t>
  </si>
  <si>
    <t>Total monthly ownership costs</t>
  </si>
  <si>
    <t xml:space="preserve">This worksheet will help you estimate the ROI for a renovation and sale. </t>
  </si>
  <si>
    <t>Purchase costs (total)</t>
  </si>
  <si>
    <t>901 789 Jervis</t>
  </si>
  <si>
    <t>908 888 Pacific</t>
  </si>
  <si>
    <t>Yaletown</t>
  </si>
  <si>
    <t>West End</t>
  </si>
  <si>
    <t>Size (sqft)</t>
  </si>
  <si>
    <t>2 bed 2 bath 2 parking. Purchased Jan 2016 &amp; sold July 2016.</t>
  </si>
  <si>
    <t>2 bed 2 bath plus den 1 parking. Purchased Nov 2015 &amp; sold June 2016.</t>
  </si>
  <si>
    <t>Realtor fees (seller and buyer realtors)</t>
  </si>
  <si>
    <t>Approx. cash required (Step 5 plus Step 6)</t>
  </si>
  <si>
    <t>Mortgage Information (if required) - used to determine line 52</t>
  </si>
  <si>
    <t>2 bed 2 bath 1 parking. Purchased Nov 2015 &amp; sold June 2016. EXCELLENT RESALE PRICE.</t>
  </si>
  <si>
    <t>Estimated Profit due to appreciation (HPI)</t>
  </si>
  <si>
    <t>Estimated profit due to renovation</t>
  </si>
  <si>
    <t>Maximum renovation cost ($/sqft)</t>
  </si>
  <si>
    <t>Neighbourhood</t>
  </si>
  <si>
    <t>The Gross Profit noted above is a result of the renovation plus appreciation. I used the Home Price Index to estimate the amount of Gross Profit due to appreciation and partitioned the factors as seen below.</t>
  </si>
  <si>
    <t>Selling Costs Calculator</t>
  </si>
  <si>
    <t>This worksheet will help you estimate your total costs when selling a condo.</t>
  </si>
  <si>
    <t>521 1040 Pacific</t>
  </si>
  <si>
    <t>Realtor fees (both realtors)</t>
  </si>
  <si>
    <t>Net</t>
  </si>
  <si>
    <t>Mortgage balance</t>
  </si>
  <si>
    <t>Money for LA</t>
  </si>
  <si>
    <t>Moving</t>
  </si>
  <si>
    <t>Foreign buyer tax (15%)</t>
  </si>
  <si>
    <r>
      <t xml:space="preserve">Foreign buyer tax </t>
    </r>
    <r>
      <rPr>
        <sz val="10"/>
        <color theme="1"/>
        <rFont val="Helvetica"/>
      </rPr>
      <t>(15%)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</si>
</sst>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quot;$&quot;#,##0_);[Red]\(&quot;$&quot;#,##0\)"/>
    <numFmt numFmtId="165" formatCode="&quot;$&quot;#,##0.00_);[Red]\(&quot;$&quot;#,##0.00\)"/>
    <numFmt numFmtId="166" formatCode="0.0000%"/>
    <numFmt numFmtId="167" formatCode="&quot;$&quot;#,##0.00;[Red]&quot;$&quot;#,##0.00"/>
    <numFmt numFmtId="168" formatCode="&quot;$&quot;#,##0.0;[Red]&quot;$&quot;#,##0.0"/>
    <numFmt numFmtId="169" formatCode="_-* #,##0_-;\-* #,##0_-;_-* &quot;-&quot;??_-;_-@_-"/>
  </numFmts>
  <fonts count="4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sz val="20"/>
      <color theme="0"/>
      <name val="Century Gothic"/>
      <family val="2"/>
    </font>
    <font>
      <sz val="12"/>
      <color theme="0"/>
      <name val="Century Gothic"/>
      <family val="2"/>
    </font>
    <font>
      <sz val="12"/>
      <color theme="1"/>
      <name val="Century Gothic"/>
      <family val="2"/>
    </font>
    <font>
      <u/>
      <sz val="12"/>
      <color theme="10"/>
      <name val="Calibri"/>
      <family val="2"/>
      <scheme val="minor"/>
    </font>
    <font>
      <u/>
      <sz val="12"/>
      <color rgb="FF366092"/>
      <name val="Century Gothic"/>
    </font>
    <font>
      <u/>
      <sz val="12"/>
      <color theme="10"/>
      <name val="Century Gothic"/>
    </font>
    <font>
      <sz val="12"/>
      <color indexed="81"/>
      <name val="Calibri"/>
      <family val="2"/>
    </font>
    <font>
      <sz val="8"/>
      <name val="Calibri"/>
      <family val="2"/>
      <scheme val="minor"/>
    </font>
    <font>
      <u/>
      <sz val="12"/>
      <color theme="11"/>
      <name val="Calibri"/>
      <family val="2"/>
      <scheme val="minor"/>
    </font>
    <font>
      <sz val="9"/>
      <color indexed="81"/>
      <name val="Calibri"/>
      <family val="2"/>
    </font>
    <font>
      <sz val="9"/>
      <color theme="1"/>
      <name val="Arial"/>
    </font>
    <font>
      <b/>
      <sz val="9"/>
      <color theme="1"/>
      <name val="Arial"/>
    </font>
    <font>
      <sz val="18"/>
      <color rgb="FF333333"/>
      <name val="Maven"/>
    </font>
    <font>
      <sz val="11"/>
      <color theme="1"/>
      <name val="Helvetica"/>
    </font>
    <font>
      <sz val="12"/>
      <color theme="1"/>
      <name val="Helvetica"/>
    </font>
    <font>
      <sz val="12"/>
      <color rgb="FF366092"/>
      <name val="Helvetica"/>
    </font>
    <font>
      <sz val="12"/>
      <name val="Helvetica"/>
    </font>
    <font>
      <b/>
      <sz val="12"/>
      <name val="Helvetica"/>
    </font>
    <font>
      <b/>
      <sz val="12"/>
      <color theme="1"/>
      <name val="Helvetica"/>
    </font>
    <font>
      <sz val="10"/>
      <color theme="1"/>
      <name val="Helvetica"/>
    </font>
    <font>
      <sz val="16"/>
      <color theme="0"/>
      <name val="Helvetica"/>
    </font>
    <font>
      <sz val="20"/>
      <color theme="0"/>
      <name val="Helvetica"/>
    </font>
    <font>
      <sz val="8"/>
      <color theme="0"/>
      <name val="Helvetica"/>
    </font>
    <font>
      <sz val="24"/>
      <name val="Helvetica"/>
    </font>
    <font>
      <u/>
      <sz val="12"/>
      <color rgb="FF366092"/>
      <name val="Helvetica"/>
    </font>
    <font>
      <u/>
      <sz val="12"/>
      <color theme="10"/>
      <name val="Helvetica"/>
    </font>
    <font>
      <sz val="10"/>
      <name val="Helvetica"/>
    </font>
    <font>
      <sz val="12"/>
      <color rgb="FF000000"/>
      <name val="Helvetica"/>
    </font>
    <font>
      <i/>
      <sz val="12"/>
      <color theme="1"/>
      <name val="Helvetica"/>
    </font>
    <font>
      <sz val="12"/>
      <color rgb="FFFF0000"/>
      <name val="Helvetica"/>
    </font>
    <font>
      <sz val="9"/>
      <color indexed="81"/>
      <name val="Helvetica"/>
    </font>
    <font>
      <sz val="11"/>
      <color indexed="81"/>
      <name val="Helvetica"/>
    </font>
    <font>
      <b/>
      <sz val="12"/>
      <color theme="0"/>
      <name val="Helvetica"/>
    </font>
    <font>
      <sz val="12"/>
      <color theme="0"/>
      <name val="Helvetica"/>
    </font>
  </fonts>
  <fills count="9">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1">
    <border>
      <left/>
      <right/>
      <top/>
      <bottom/>
      <diagonal/>
    </border>
    <border>
      <left style="hair">
        <color rgb="FF000090"/>
      </left>
      <right style="hair">
        <color rgb="FF000090"/>
      </right>
      <top style="hair">
        <color rgb="FF000090"/>
      </top>
      <bottom style="hair">
        <color rgb="FF000090"/>
      </bottom>
      <diagonal/>
    </border>
    <border>
      <left/>
      <right/>
      <top style="hair">
        <color rgb="FF000090"/>
      </top>
      <bottom style="hair">
        <color rgb="FF000090"/>
      </bottom>
      <diagonal/>
    </border>
    <border>
      <left/>
      <right/>
      <top style="hair">
        <color rgb="FF000090"/>
      </top>
      <bottom/>
      <diagonal/>
    </border>
    <border>
      <left/>
      <right/>
      <top/>
      <bottom style="hair">
        <color rgb="FF000090"/>
      </bottom>
      <diagonal/>
    </border>
    <border>
      <left style="hair">
        <color rgb="FF000090"/>
      </left>
      <right style="hair">
        <color rgb="FF000090"/>
      </right>
      <top style="hair">
        <color rgb="FF000090"/>
      </top>
      <bottom style="thin">
        <color auto="1"/>
      </bottom>
      <diagonal/>
    </border>
    <border>
      <left style="hair">
        <color rgb="FF000090"/>
      </left>
      <right/>
      <top style="hair">
        <color rgb="FF000090"/>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hair">
        <color rgb="FF000090"/>
      </left>
      <right style="hair">
        <color rgb="FF000090"/>
      </right>
      <top style="hair">
        <color rgb="FF000090"/>
      </top>
      <bottom/>
      <diagonal/>
    </border>
    <border>
      <left/>
      <right/>
      <top style="hair">
        <color rgb="FF000090"/>
      </top>
      <bottom style="thin">
        <color auto="1"/>
      </bottom>
      <diagonal/>
    </border>
  </borders>
  <cellStyleXfs count="6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 fillId="5" borderId="8">
      <alignment wrapText="1"/>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37">
    <xf numFmtId="0" fontId="0" fillId="0" borderId="0" xfId="0"/>
    <xf numFmtId="0" fontId="5" fillId="2" borderId="0" xfId="0" quotePrefix="1" applyFont="1" applyFill="1"/>
    <xf numFmtId="0" fontId="5" fillId="2" borderId="0" xfId="0" applyFont="1" applyFill="1"/>
    <xf numFmtId="0" fontId="7" fillId="2" borderId="0" xfId="0" applyFont="1" applyFill="1"/>
    <xf numFmtId="0" fontId="0" fillId="0" borderId="0" xfId="0" applyFill="1"/>
    <xf numFmtId="0" fontId="8" fillId="0" borderId="0" xfId="0" applyFont="1" applyFill="1"/>
    <xf numFmtId="0" fontId="8" fillId="0" borderId="0" xfId="0" quotePrefix="1" applyFont="1" applyFill="1" applyAlignment="1">
      <alignment wrapText="1"/>
    </xf>
    <xf numFmtId="0" fontId="10" fillId="0" borderId="0" xfId="2" applyFont="1" applyFill="1"/>
    <xf numFmtId="0" fontId="11" fillId="0" borderId="0" xfId="2" applyFont="1" applyFill="1"/>
    <xf numFmtId="0" fontId="6" fillId="2" borderId="0" xfId="0" applyFont="1" applyFill="1" applyAlignment="1">
      <alignment vertical="center"/>
    </xf>
    <xf numFmtId="0" fontId="0" fillId="2" borderId="0" xfId="0" applyFill="1"/>
    <xf numFmtId="0" fontId="4" fillId="0" borderId="0" xfId="0" applyFont="1" applyFill="1" applyAlignment="1">
      <alignment horizontal="center"/>
    </xf>
    <xf numFmtId="0" fontId="6" fillId="0" borderId="0" xfId="0" applyFont="1" applyFill="1"/>
    <xf numFmtId="0" fontId="5" fillId="0" borderId="0" xfId="0" quotePrefix="1" applyFont="1" applyFill="1"/>
    <xf numFmtId="0" fontId="5" fillId="0" borderId="0" xfId="0" applyFont="1" applyFill="1"/>
    <xf numFmtId="0" fontId="7" fillId="0" borderId="0" xfId="0" applyFont="1" applyFill="1"/>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0" fillId="0" borderId="0" xfId="0" applyFill="1" applyAlignment="1">
      <alignment vertical="top" wrapText="1"/>
    </xf>
    <xf numFmtId="0" fontId="0" fillId="0" borderId="0" xfId="0" applyBorder="1"/>
    <xf numFmtId="0" fontId="17" fillId="0" borderId="0" xfId="0" applyFont="1" applyFill="1" applyBorder="1" applyAlignment="1">
      <alignmen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18" fillId="0" borderId="0" xfId="0" applyFont="1"/>
    <xf numFmtId="0" fontId="19" fillId="0" borderId="0" xfId="0" applyFont="1" applyFill="1"/>
    <xf numFmtId="0" fontId="20" fillId="0" borderId="0" xfId="0" applyFont="1"/>
    <xf numFmtId="0" fontId="20" fillId="0" borderId="0" xfId="0" applyFont="1" applyFill="1"/>
    <xf numFmtId="0" fontId="20" fillId="3" borderId="1" xfId="0" applyFont="1" applyFill="1" applyBorder="1" applyAlignment="1" applyProtection="1">
      <alignment horizontal="center"/>
      <protection locked="0"/>
    </xf>
    <xf numFmtId="0" fontId="20" fillId="0" borderId="0" xfId="0" applyFont="1" applyFill="1" applyAlignment="1">
      <alignment horizontal="center"/>
    </xf>
    <xf numFmtId="0" fontId="20" fillId="3" borderId="1" xfId="0" applyFont="1" applyFill="1" applyBorder="1" applyAlignment="1" applyProtection="1">
      <alignment horizontal="center" vertical="center" wrapText="1"/>
      <protection locked="0"/>
    </xf>
    <xf numFmtId="0" fontId="20" fillId="0" borderId="0" xfId="0" applyFont="1" applyFill="1" applyAlignment="1">
      <alignment horizontal="center" vertical="center"/>
    </xf>
    <xf numFmtId="0" fontId="20" fillId="0" borderId="0" xfId="0" applyFont="1" applyFill="1" applyAlignment="1">
      <alignment vertical="center"/>
    </xf>
    <xf numFmtId="164" fontId="20" fillId="3" borderId="1" xfId="0" applyNumberFormat="1" applyFont="1" applyFill="1" applyBorder="1" applyProtection="1">
      <protection locked="0"/>
    </xf>
    <xf numFmtId="164" fontId="20" fillId="0" borderId="0" xfId="0" applyNumberFormat="1" applyFont="1" applyFill="1"/>
    <xf numFmtId="165" fontId="20" fillId="0" borderId="0" xfId="0" applyNumberFormat="1" applyFont="1" applyFill="1"/>
    <xf numFmtId="0" fontId="20" fillId="4" borderId="0" xfId="0" applyFont="1" applyFill="1"/>
    <xf numFmtId="164" fontId="20" fillId="4" borderId="0" xfId="0" applyNumberFormat="1" applyFont="1" applyFill="1"/>
    <xf numFmtId="10" fontId="20" fillId="3" borderId="1" xfId="1" applyNumberFormat="1" applyFont="1" applyFill="1" applyBorder="1" applyProtection="1">
      <protection locked="0"/>
    </xf>
    <xf numFmtId="0" fontId="20" fillId="4" borderId="0" xfId="0" applyFont="1" applyFill="1" applyBorder="1"/>
    <xf numFmtId="0" fontId="20" fillId="3" borderId="1" xfId="0" applyFont="1" applyFill="1" applyBorder="1" applyProtection="1">
      <protection locked="0"/>
    </xf>
    <xf numFmtId="0" fontId="24" fillId="4" borderId="0" xfId="0" applyFont="1" applyFill="1" applyAlignment="1">
      <alignment horizontal="right"/>
    </xf>
    <xf numFmtId="164" fontId="20" fillId="4" borderId="0" xfId="0" applyNumberFormat="1" applyFont="1" applyFill="1" applyBorder="1"/>
    <xf numFmtId="0" fontId="23" fillId="0" borderId="0" xfId="0" applyFont="1" applyFill="1"/>
    <xf numFmtId="0" fontId="22" fillId="0" borderId="0" xfId="0" applyFont="1" applyFill="1"/>
    <xf numFmtId="0" fontId="20" fillId="0" borderId="0" xfId="0" applyFont="1" applyFill="1" applyAlignment="1">
      <alignment wrapText="1"/>
    </xf>
    <xf numFmtId="164" fontId="20" fillId="3" borderId="9" xfId="0" applyNumberFormat="1" applyFont="1" applyFill="1" applyBorder="1" applyProtection="1">
      <protection locked="0"/>
    </xf>
    <xf numFmtId="0" fontId="20" fillId="0" borderId="0" xfId="0" applyFont="1" applyFill="1" applyBorder="1"/>
    <xf numFmtId="164" fontId="20" fillId="3" borderId="5" xfId="0" applyNumberFormat="1" applyFont="1" applyFill="1" applyBorder="1" applyProtection="1">
      <protection locked="0"/>
    </xf>
    <xf numFmtId="10" fontId="20" fillId="0" borderId="0" xfId="1" applyNumberFormat="1" applyFont="1" applyFill="1" applyBorder="1"/>
    <xf numFmtId="0" fontId="24" fillId="0" borderId="0" xfId="0" applyFont="1" applyFill="1" applyBorder="1" applyAlignment="1">
      <alignment horizontal="right"/>
    </xf>
    <xf numFmtId="164" fontId="24" fillId="0" borderId="0" xfId="0" applyNumberFormat="1" applyFont="1" applyFill="1" applyBorder="1" applyProtection="1"/>
    <xf numFmtId="166" fontId="20" fillId="0" borderId="0" xfId="1" applyNumberFormat="1" applyFont="1" applyFill="1" applyBorder="1"/>
    <xf numFmtId="0" fontId="22" fillId="0" borderId="0" xfId="0" applyFont="1" applyFill="1" applyBorder="1"/>
    <xf numFmtId="164" fontId="20" fillId="0" borderId="0" xfId="0" applyNumberFormat="1" applyFont="1" applyFill="1" applyBorder="1" applyProtection="1">
      <protection locked="0"/>
    </xf>
    <xf numFmtId="0" fontId="23" fillId="0" borderId="0" xfId="0" applyFont="1" applyFill="1" applyBorder="1" applyAlignment="1">
      <alignment horizontal="right"/>
    </xf>
    <xf numFmtId="164" fontId="24" fillId="0" borderId="0" xfId="0" applyNumberFormat="1" applyFont="1" applyFill="1" applyBorder="1" applyProtection="1">
      <protection locked="0"/>
    </xf>
    <xf numFmtId="164" fontId="20" fillId="0" borderId="0" xfId="0" applyNumberFormat="1" applyFont="1" applyFill="1" applyBorder="1"/>
    <xf numFmtId="0" fontId="20" fillId="2" borderId="0" xfId="0" applyFont="1" applyFill="1"/>
    <xf numFmtId="0" fontId="25" fillId="3" borderId="1" xfId="0" applyFont="1" applyFill="1" applyBorder="1" applyAlignment="1" applyProtection="1">
      <alignment horizontal="center" vertical="center" wrapText="1"/>
      <protection locked="0"/>
    </xf>
    <xf numFmtId="0" fontId="26" fillId="2" borderId="0" xfId="0" applyFont="1" applyFill="1" applyAlignment="1">
      <alignment vertical="center"/>
    </xf>
    <xf numFmtId="0" fontId="27" fillId="2" borderId="0" xfId="0" applyFont="1" applyFill="1" applyAlignment="1">
      <alignment vertical="center"/>
    </xf>
    <xf numFmtId="0" fontId="26" fillId="2" borderId="0" xfId="0" applyFont="1" applyFill="1" applyAlignment="1">
      <alignment horizontal="center" vertical="center"/>
    </xf>
    <xf numFmtId="0" fontId="29" fillId="0" borderId="0" xfId="0" applyFont="1" applyFill="1"/>
    <xf numFmtId="0" fontId="20" fillId="0" borderId="0" xfId="0" quotePrefix="1" applyFont="1" applyFill="1" applyAlignment="1">
      <alignment wrapText="1"/>
    </xf>
    <xf numFmtId="0" fontId="30" fillId="0" borderId="0" xfId="2" applyFont="1" applyFill="1"/>
    <xf numFmtId="0" fontId="31" fillId="0" borderId="0" xfId="2" applyFont="1" applyFill="1"/>
    <xf numFmtId="0" fontId="24" fillId="0" borderId="0" xfId="0" applyFont="1" applyFill="1" applyAlignment="1">
      <alignment horizontal="center"/>
    </xf>
    <xf numFmtId="165" fontId="20" fillId="0" borderId="0" xfId="0" applyNumberFormat="1" applyFont="1" applyFill="1" applyBorder="1"/>
    <xf numFmtId="0" fontId="23" fillId="0" borderId="0" xfId="0" applyFont="1" applyFill="1" applyBorder="1"/>
    <xf numFmtId="0" fontId="22" fillId="0" borderId="0" xfId="0" applyFont="1" applyFill="1" applyBorder="1" applyAlignment="1">
      <alignment horizontal="left"/>
    </xf>
    <xf numFmtId="165" fontId="20" fillId="0" borderId="0" xfId="0" applyNumberFormat="1" applyFont="1"/>
    <xf numFmtId="0" fontId="25" fillId="0" borderId="0" xfId="0" applyFont="1" applyFill="1" applyAlignment="1">
      <alignment horizontal="center" vertical="center"/>
    </xf>
    <xf numFmtId="0" fontId="25" fillId="0" borderId="0" xfId="0" applyFont="1" applyFill="1" applyAlignment="1">
      <alignment vertical="center"/>
    </xf>
    <xf numFmtId="0" fontId="33" fillId="0" borderId="0" xfId="0" applyFont="1"/>
    <xf numFmtId="0" fontId="20" fillId="3" borderId="1" xfId="0" applyFont="1" applyFill="1" applyBorder="1" applyAlignment="1" applyProtection="1">
      <alignment horizontal="right"/>
      <protection locked="0"/>
    </xf>
    <xf numFmtId="0" fontId="20" fillId="0" borderId="0" xfId="0" applyFont="1" applyFill="1" applyAlignment="1">
      <alignment horizontal="right"/>
    </xf>
    <xf numFmtId="10" fontId="20" fillId="0" borderId="0" xfId="1" applyNumberFormat="1" applyFont="1" applyFill="1"/>
    <xf numFmtId="10" fontId="20" fillId="0" borderId="2" xfId="1" applyNumberFormat="1" applyFont="1" applyFill="1" applyBorder="1"/>
    <xf numFmtId="166" fontId="20" fillId="0" borderId="0" xfId="1" applyNumberFormat="1" applyFont="1" applyFill="1"/>
    <xf numFmtId="0" fontId="20" fillId="0" borderId="3" xfId="0" applyFont="1" applyFill="1" applyBorder="1"/>
    <xf numFmtId="0" fontId="20" fillId="0" borderId="4" xfId="0" applyFont="1" applyFill="1" applyBorder="1"/>
    <xf numFmtId="0" fontId="24" fillId="0" borderId="0" xfId="0" applyFont="1" applyFill="1" applyAlignment="1">
      <alignment horizontal="right"/>
    </xf>
    <xf numFmtId="164" fontId="34" fillId="0" borderId="0" xfId="0" applyNumberFormat="1" applyFont="1" applyFill="1"/>
    <xf numFmtId="0" fontId="22" fillId="0" borderId="0" xfId="0" applyFont="1" applyFill="1" applyAlignment="1">
      <alignment horizontal="left"/>
    </xf>
    <xf numFmtId="0" fontId="23" fillId="0" borderId="0" xfId="0" applyFont="1" applyFill="1" applyAlignment="1">
      <alignment horizontal="right"/>
    </xf>
    <xf numFmtId="164" fontId="20" fillId="0" borderId="0" xfId="0" applyNumberFormat="1" applyFont="1" applyFill="1" applyProtection="1"/>
    <xf numFmtId="0" fontId="20" fillId="0" borderId="0" xfId="0" applyFont="1" applyFill="1" applyProtection="1"/>
    <xf numFmtId="164" fontId="24" fillId="0" borderId="0" xfId="0" applyNumberFormat="1" applyFont="1" applyFill="1"/>
    <xf numFmtId="9" fontId="20" fillId="3" borderId="1" xfId="1" applyFont="1" applyFill="1" applyBorder="1" applyProtection="1">
      <protection locked="0"/>
    </xf>
    <xf numFmtId="164" fontId="35" fillId="0" borderId="0" xfId="0" applyNumberFormat="1" applyFont="1" applyFill="1"/>
    <xf numFmtId="164" fontId="20" fillId="0" borderId="6" xfId="0" applyNumberFormat="1" applyFont="1" applyFill="1" applyBorder="1"/>
    <xf numFmtId="0" fontId="20" fillId="0" borderId="0" xfId="0" applyFont="1" applyFill="1" applyAlignment="1">
      <alignment horizontal="left"/>
    </xf>
    <xf numFmtId="164" fontId="20" fillId="0" borderId="7" xfId="0" applyNumberFormat="1" applyFont="1" applyFill="1" applyBorder="1"/>
    <xf numFmtId="164" fontId="24" fillId="0" borderId="0" xfId="0" applyNumberFormat="1" applyFont="1" applyFill="1" applyBorder="1"/>
    <xf numFmtId="164" fontId="34" fillId="0" borderId="0" xfId="0" applyNumberFormat="1" applyFont="1" applyFill="1" applyBorder="1"/>
    <xf numFmtId="164" fontId="24" fillId="4" borderId="0" xfId="0" applyNumberFormat="1" applyFont="1" applyFill="1"/>
    <xf numFmtId="164" fontId="35" fillId="4" borderId="0" xfId="0" applyNumberFormat="1" applyFont="1" applyFill="1"/>
    <xf numFmtId="9" fontId="20" fillId="4" borderId="0" xfId="1" applyFont="1" applyFill="1"/>
    <xf numFmtId="9" fontId="35" fillId="4" borderId="0" xfId="1" applyFont="1" applyFill="1"/>
    <xf numFmtId="0" fontId="25" fillId="0" borderId="0" xfId="0" applyFont="1" applyFill="1" applyAlignment="1">
      <alignment horizontal="center"/>
    </xf>
    <xf numFmtId="0" fontId="25" fillId="0" borderId="0" xfId="0" applyFont="1" applyFill="1"/>
    <xf numFmtId="0" fontId="24" fillId="4" borderId="0" xfId="0" applyFont="1" applyFill="1" applyBorder="1" applyAlignment="1">
      <alignment horizontal="right"/>
    </xf>
    <xf numFmtId="1" fontId="20" fillId="3" borderId="1" xfId="1" applyNumberFormat="1" applyFont="1" applyFill="1" applyBorder="1" applyProtection="1">
      <protection locked="0"/>
    </xf>
    <xf numFmtId="1" fontId="20" fillId="3" borderId="9" xfId="1" applyNumberFormat="1" applyFont="1" applyFill="1" applyBorder="1" applyProtection="1">
      <protection locked="0"/>
    </xf>
    <xf numFmtId="164" fontId="20" fillId="4" borderId="7" xfId="0" applyNumberFormat="1" applyFont="1" applyFill="1" applyBorder="1"/>
    <xf numFmtId="0" fontId="38" fillId="6" borderId="0" xfId="0" applyFont="1" applyFill="1"/>
    <xf numFmtId="0" fontId="39" fillId="6" borderId="0" xfId="0" applyFont="1" applyFill="1"/>
    <xf numFmtId="0" fontId="24" fillId="7" borderId="0" xfId="0" applyFont="1" applyFill="1" applyAlignment="1">
      <alignment horizontal="left"/>
    </xf>
    <xf numFmtId="0" fontId="24" fillId="7" borderId="0" xfId="0" applyFont="1" applyFill="1"/>
    <xf numFmtId="164" fontId="24" fillId="7" borderId="0" xfId="0" applyNumberFormat="1" applyFont="1" applyFill="1"/>
    <xf numFmtId="9" fontId="24" fillId="7" borderId="0" xfId="1" applyFont="1" applyFill="1"/>
    <xf numFmtId="168" fontId="0" fillId="0" borderId="0" xfId="0" applyNumberFormat="1"/>
    <xf numFmtId="168" fontId="0" fillId="0" borderId="0" xfId="0" applyNumberFormat="1" applyBorder="1"/>
    <xf numFmtId="167" fontId="0" fillId="0" borderId="0" xfId="0" applyNumberFormat="1"/>
    <xf numFmtId="164" fontId="20" fillId="0" borderId="4" xfId="0" applyNumberFormat="1" applyFont="1" applyFill="1" applyBorder="1" applyProtection="1">
      <protection locked="0"/>
    </xf>
    <xf numFmtId="0" fontId="4" fillId="0" borderId="0" xfId="0" applyFont="1"/>
    <xf numFmtId="167" fontId="4" fillId="0" borderId="0" xfId="0" applyNumberFormat="1" applyFont="1"/>
    <xf numFmtId="2" fontId="0" fillId="0" borderId="0" xfId="0" applyNumberFormat="1"/>
    <xf numFmtId="2" fontId="0" fillId="0" borderId="0" xfId="0" applyNumberFormat="1" applyBorder="1"/>
    <xf numFmtId="0" fontId="20" fillId="0" borderId="10" xfId="0" applyFont="1" applyFill="1" applyBorder="1"/>
    <xf numFmtId="0" fontId="23" fillId="8" borderId="0" xfId="0" applyFont="1" applyFill="1"/>
    <xf numFmtId="0" fontId="38" fillId="8" borderId="0" xfId="0" applyFont="1" applyFill="1"/>
    <xf numFmtId="0" fontId="39" fillId="8" borderId="0" xfId="0" applyFont="1" applyFill="1"/>
    <xf numFmtId="0" fontId="24" fillId="7" borderId="0" xfId="0" applyFont="1" applyFill="1" applyAlignment="1">
      <alignment horizontal="right"/>
    </xf>
    <xf numFmtId="0" fontId="20" fillId="7" borderId="0" xfId="0" applyFont="1" applyFill="1"/>
    <xf numFmtId="9" fontId="24" fillId="7" borderId="0" xfId="1" applyFont="1" applyFill="1" applyBorder="1"/>
    <xf numFmtId="169" fontId="20" fillId="3" borderId="1" xfId="44" applyNumberFormat="1" applyFont="1" applyFill="1" applyBorder="1" applyProtection="1">
      <protection locked="0"/>
    </xf>
    <xf numFmtId="0" fontId="16" fillId="0" borderId="0" xfId="0" applyFont="1" applyFill="1" applyBorder="1" applyAlignment="1">
      <alignment horizontal="center" vertical="center" wrapText="1"/>
    </xf>
    <xf numFmtId="9" fontId="16" fillId="0" borderId="0" xfId="0" applyNumberFormat="1" applyFont="1" applyFill="1" applyBorder="1" applyAlignment="1">
      <alignment horizontal="center" vertical="center" wrapText="1"/>
    </xf>
    <xf numFmtId="0" fontId="22" fillId="0" borderId="0" xfId="0" applyFont="1" applyFill="1" applyBorder="1" applyAlignment="1">
      <alignment horizontal="right"/>
    </xf>
    <xf numFmtId="0" fontId="24" fillId="0" borderId="0" xfId="0" applyFont="1" applyFill="1" applyBorder="1"/>
    <xf numFmtId="0" fontId="16" fillId="0" borderId="0" xfId="0" applyFont="1" applyFill="1" applyBorder="1" applyAlignment="1">
      <alignment horizontal="center" vertical="center" wrapText="1"/>
    </xf>
    <xf numFmtId="0" fontId="28" fillId="2" borderId="0" xfId="0" applyFont="1" applyFill="1" applyAlignment="1">
      <alignment horizontal="right" vertical="center" wrapText="1"/>
    </xf>
    <xf numFmtId="0" fontId="16" fillId="0" borderId="0" xfId="0" applyFont="1" applyFill="1" applyBorder="1" applyAlignment="1">
      <alignment horizontal="center" vertical="center" wrapText="1"/>
    </xf>
    <xf numFmtId="9" fontId="16" fillId="0" borderId="0" xfId="0" applyNumberFormat="1" applyFont="1" applyFill="1" applyBorder="1" applyAlignment="1">
      <alignment horizontal="center" vertical="center" wrapText="1"/>
    </xf>
  </cellXfs>
  <cellStyles count="64">
    <cellStyle name="Comma" xfId="44" builtinId="3"/>
    <cellStyle name="Comment" xfId="12"/>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Hyperlink" xfId="2" builtinId="8" customBuilti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 Id="rId3"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 Id="rId3"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9</xdr:col>
      <xdr:colOff>482600</xdr:colOff>
      <xdr:row>10</xdr:row>
      <xdr:rowOff>76200</xdr:rowOff>
    </xdr:from>
    <xdr:to>
      <xdr:col>9</xdr:col>
      <xdr:colOff>1092200</xdr:colOff>
      <xdr:row>12</xdr:row>
      <xdr:rowOff>127000</xdr:rowOff>
    </xdr:to>
    <xdr:sp macro="" textlink="">
      <xdr:nvSpPr>
        <xdr:cNvPr id="2" name="TextBox 1"/>
        <xdr:cNvSpPr txBox="1"/>
      </xdr:nvSpPr>
      <xdr:spPr>
        <a:xfrm>
          <a:off x="8648700" y="22987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3</a:t>
          </a:r>
        </a:p>
      </xdr:txBody>
    </xdr:sp>
    <xdr:clientData/>
  </xdr:twoCellAnchor>
  <xdr:twoCellAnchor>
    <xdr:from>
      <xdr:col>6</xdr:col>
      <xdr:colOff>482600</xdr:colOff>
      <xdr:row>10</xdr:row>
      <xdr:rowOff>76200</xdr:rowOff>
    </xdr:from>
    <xdr:to>
      <xdr:col>6</xdr:col>
      <xdr:colOff>1092200</xdr:colOff>
      <xdr:row>12</xdr:row>
      <xdr:rowOff>127000</xdr:rowOff>
    </xdr:to>
    <xdr:sp macro="" textlink="">
      <xdr:nvSpPr>
        <xdr:cNvPr id="3" name="TextBox 2"/>
        <xdr:cNvSpPr txBox="1"/>
      </xdr:nvSpPr>
      <xdr:spPr>
        <a:xfrm>
          <a:off x="6362700" y="22987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2</a:t>
          </a:r>
        </a:p>
      </xdr:txBody>
    </xdr:sp>
    <xdr:clientData/>
  </xdr:twoCellAnchor>
  <xdr:twoCellAnchor>
    <xdr:from>
      <xdr:col>3</xdr:col>
      <xdr:colOff>508000</xdr:colOff>
      <xdr:row>10</xdr:row>
      <xdr:rowOff>88900</xdr:rowOff>
    </xdr:from>
    <xdr:to>
      <xdr:col>3</xdr:col>
      <xdr:colOff>1117600</xdr:colOff>
      <xdr:row>12</xdr:row>
      <xdr:rowOff>139700</xdr:rowOff>
    </xdr:to>
    <xdr:sp macro="" textlink="">
      <xdr:nvSpPr>
        <xdr:cNvPr id="4" name="TextBox 3"/>
        <xdr:cNvSpPr txBox="1"/>
      </xdr:nvSpPr>
      <xdr:spPr>
        <a:xfrm>
          <a:off x="4102100" y="23114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1</a:t>
          </a:r>
        </a:p>
      </xdr:txBody>
    </xdr:sp>
    <xdr:clientData/>
  </xdr:twoCellAnchor>
  <xdr:twoCellAnchor editAs="oneCell">
    <xdr:from>
      <xdr:col>9</xdr:col>
      <xdr:colOff>647700</xdr:colOff>
      <xdr:row>1</xdr:row>
      <xdr:rowOff>12700</xdr:rowOff>
    </xdr:from>
    <xdr:to>
      <xdr:col>13</xdr:col>
      <xdr:colOff>336550</xdr:colOff>
      <xdr:row>11</xdr:row>
      <xdr:rowOff>127000</xdr:rowOff>
    </xdr:to>
    <xdr:pic>
      <xdr:nvPicPr>
        <xdr:cNvPr id="5" name="Picture 4" descr="JH-wordmark-ta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3800" y="203200"/>
          <a:ext cx="3524250" cy="2349500"/>
        </a:xfrm>
        <a:prstGeom prst="rect">
          <a:avLst/>
        </a:prstGeom>
      </xdr:spPr>
    </xdr:pic>
    <xdr:clientData/>
  </xdr:twoCellAnchor>
  <xdr:twoCellAnchor editAs="oneCell">
    <xdr:from>
      <xdr:col>0</xdr:col>
      <xdr:colOff>0</xdr:colOff>
      <xdr:row>81</xdr:row>
      <xdr:rowOff>46568</xdr:rowOff>
    </xdr:from>
    <xdr:to>
      <xdr:col>1</xdr:col>
      <xdr:colOff>1885291</xdr:colOff>
      <xdr:row>86</xdr:row>
      <xdr:rowOff>21169</xdr:rowOff>
    </xdr:to>
    <xdr:pic>
      <xdr:nvPicPr>
        <xdr:cNvPr id="6" name="Picture 5" descr="JH-icon-REV.eps"/>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997" r="-16997"/>
        <a:stretch/>
      </xdr:blipFill>
      <xdr:spPr>
        <a:xfrm>
          <a:off x="0" y="18067868"/>
          <a:ext cx="2329791" cy="1104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482600</xdr:colOff>
      <xdr:row>10</xdr:row>
      <xdr:rowOff>76200</xdr:rowOff>
    </xdr:from>
    <xdr:to>
      <xdr:col>9</xdr:col>
      <xdr:colOff>1092200</xdr:colOff>
      <xdr:row>12</xdr:row>
      <xdr:rowOff>127000</xdr:rowOff>
    </xdr:to>
    <xdr:sp macro="" textlink="">
      <xdr:nvSpPr>
        <xdr:cNvPr id="2" name="TextBox 1"/>
        <xdr:cNvSpPr txBox="1"/>
      </xdr:nvSpPr>
      <xdr:spPr>
        <a:xfrm>
          <a:off x="8648700" y="24384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3</a:t>
          </a:r>
        </a:p>
      </xdr:txBody>
    </xdr:sp>
    <xdr:clientData/>
  </xdr:twoCellAnchor>
  <xdr:twoCellAnchor>
    <xdr:from>
      <xdr:col>6</xdr:col>
      <xdr:colOff>482600</xdr:colOff>
      <xdr:row>10</xdr:row>
      <xdr:rowOff>76200</xdr:rowOff>
    </xdr:from>
    <xdr:to>
      <xdr:col>6</xdr:col>
      <xdr:colOff>1092200</xdr:colOff>
      <xdr:row>12</xdr:row>
      <xdr:rowOff>127000</xdr:rowOff>
    </xdr:to>
    <xdr:sp macro="" textlink="">
      <xdr:nvSpPr>
        <xdr:cNvPr id="3" name="TextBox 2"/>
        <xdr:cNvSpPr txBox="1"/>
      </xdr:nvSpPr>
      <xdr:spPr>
        <a:xfrm>
          <a:off x="6362700" y="24384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2</a:t>
          </a:r>
        </a:p>
      </xdr:txBody>
    </xdr:sp>
    <xdr:clientData/>
  </xdr:twoCellAnchor>
  <xdr:twoCellAnchor>
    <xdr:from>
      <xdr:col>3</xdr:col>
      <xdr:colOff>508000</xdr:colOff>
      <xdr:row>10</xdr:row>
      <xdr:rowOff>88900</xdr:rowOff>
    </xdr:from>
    <xdr:to>
      <xdr:col>3</xdr:col>
      <xdr:colOff>1117600</xdr:colOff>
      <xdr:row>12</xdr:row>
      <xdr:rowOff>139700</xdr:rowOff>
    </xdr:to>
    <xdr:sp macro="" textlink="">
      <xdr:nvSpPr>
        <xdr:cNvPr id="5" name="TextBox 4"/>
        <xdr:cNvSpPr txBox="1"/>
      </xdr:nvSpPr>
      <xdr:spPr>
        <a:xfrm>
          <a:off x="4102100" y="24511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1</a:t>
          </a:r>
        </a:p>
      </xdr:txBody>
    </xdr:sp>
    <xdr:clientData/>
  </xdr:twoCellAnchor>
  <xdr:twoCellAnchor editAs="oneCell">
    <xdr:from>
      <xdr:col>6</xdr:col>
      <xdr:colOff>914400</xdr:colOff>
      <xdr:row>1</xdr:row>
      <xdr:rowOff>38100</xdr:rowOff>
    </xdr:from>
    <xdr:to>
      <xdr:col>11</xdr:col>
      <xdr:colOff>234950</xdr:colOff>
      <xdr:row>11</xdr:row>
      <xdr:rowOff>241300</xdr:rowOff>
    </xdr:to>
    <xdr:pic>
      <xdr:nvPicPr>
        <xdr:cNvPr id="6" name="Picture 5" descr="JH-wordmark-ta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50100" y="228600"/>
          <a:ext cx="3524250" cy="2349500"/>
        </a:xfrm>
        <a:prstGeom prst="rect">
          <a:avLst/>
        </a:prstGeom>
      </xdr:spPr>
    </xdr:pic>
    <xdr:clientData/>
  </xdr:twoCellAnchor>
  <xdr:twoCellAnchor editAs="oneCell">
    <xdr:from>
      <xdr:col>0</xdr:col>
      <xdr:colOff>0</xdr:colOff>
      <xdr:row>41</xdr:row>
      <xdr:rowOff>38100</xdr:rowOff>
    </xdr:from>
    <xdr:to>
      <xdr:col>1</xdr:col>
      <xdr:colOff>1885291</xdr:colOff>
      <xdr:row>46</xdr:row>
      <xdr:rowOff>12701</xdr:rowOff>
    </xdr:to>
    <xdr:pic>
      <xdr:nvPicPr>
        <xdr:cNvPr id="8" name="Picture 7" descr="JH-icon-REV.eps"/>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997" r="-16997"/>
        <a:stretch/>
      </xdr:blipFill>
      <xdr:spPr>
        <a:xfrm>
          <a:off x="0" y="9550400"/>
          <a:ext cx="2329791" cy="1104901"/>
        </a:xfrm>
        <a:prstGeom prst="rect">
          <a:avLst/>
        </a:prstGeom>
      </xdr:spPr>
    </xdr:pic>
    <xdr:clientData/>
  </xdr:twoCellAnchor>
  <xdr:twoCellAnchor editAs="oneCell">
    <xdr:from>
      <xdr:col>9</xdr:col>
      <xdr:colOff>433295</xdr:colOff>
      <xdr:row>1</xdr:row>
      <xdr:rowOff>165100</xdr:rowOff>
    </xdr:from>
    <xdr:to>
      <xdr:col>14</xdr:col>
      <xdr:colOff>304800</xdr:colOff>
      <xdr:row>9</xdr:row>
      <xdr:rowOff>163800</xdr:rowOff>
    </xdr:to>
    <xdr:pic>
      <xdr:nvPicPr>
        <xdr:cNvPr id="4" name="Picture 3" descr="JH-VRES-grey.eps"/>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9780" b="26383"/>
        <a:stretch/>
      </xdr:blipFill>
      <xdr:spPr>
        <a:xfrm>
          <a:off x="8954995" y="355600"/>
          <a:ext cx="4240305" cy="176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482600</xdr:colOff>
      <xdr:row>10</xdr:row>
      <xdr:rowOff>76200</xdr:rowOff>
    </xdr:from>
    <xdr:to>
      <xdr:col>9</xdr:col>
      <xdr:colOff>1092200</xdr:colOff>
      <xdr:row>12</xdr:row>
      <xdr:rowOff>127000</xdr:rowOff>
    </xdr:to>
    <xdr:sp macro="" textlink="">
      <xdr:nvSpPr>
        <xdr:cNvPr id="2" name="TextBox 1"/>
        <xdr:cNvSpPr txBox="1"/>
      </xdr:nvSpPr>
      <xdr:spPr>
        <a:xfrm>
          <a:off x="9004300" y="24384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3</a:t>
          </a:r>
        </a:p>
      </xdr:txBody>
    </xdr:sp>
    <xdr:clientData/>
  </xdr:twoCellAnchor>
  <xdr:twoCellAnchor>
    <xdr:from>
      <xdr:col>6</xdr:col>
      <xdr:colOff>482600</xdr:colOff>
      <xdr:row>10</xdr:row>
      <xdr:rowOff>76200</xdr:rowOff>
    </xdr:from>
    <xdr:to>
      <xdr:col>6</xdr:col>
      <xdr:colOff>1092200</xdr:colOff>
      <xdr:row>12</xdr:row>
      <xdr:rowOff>127000</xdr:rowOff>
    </xdr:to>
    <xdr:sp macro="" textlink="">
      <xdr:nvSpPr>
        <xdr:cNvPr id="3" name="TextBox 2"/>
        <xdr:cNvSpPr txBox="1"/>
      </xdr:nvSpPr>
      <xdr:spPr>
        <a:xfrm>
          <a:off x="6718300" y="24384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2</a:t>
          </a:r>
        </a:p>
      </xdr:txBody>
    </xdr:sp>
    <xdr:clientData/>
  </xdr:twoCellAnchor>
  <xdr:twoCellAnchor>
    <xdr:from>
      <xdr:col>3</xdr:col>
      <xdr:colOff>508000</xdr:colOff>
      <xdr:row>10</xdr:row>
      <xdr:rowOff>88900</xdr:rowOff>
    </xdr:from>
    <xdr:to>
      <xdr:col>3</xdr:col>
      <xdr:colOff>1117600</xdr:colOff>
      <xdr:row>12</xdr:row>
      <xdr:rowOff>139700</xdr:rowOff>
    </xdr:to>
    <xdr:sp macro="" textlink="">
      <xdr:nvSpPr>
        <xdr:cNvPr id="5" name="TextBox 4"/>
        <xdr:cNvSpPr txBox="1"/>
      </xdr:nvSpPr>
      <xdr:spPr>
        <a:xfrm>
          <a:off x="4457700" y="24511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1</a:t>
          </a:r>
        </a:p>
      </xdr:txBody>
    </xdr:sp>
    <xdr:clientData/>
  </xdr:twoCellAnchor>
  <xdr:twoCellAnchor editAs="oneCell">
    <xdr:from>
      <xdr:col>9</xdr:col>
      <xdr:colOff>647700</xdr:colOff>
      <xdr:row>1</xdr:row>
      <xdr:rowOff>12700</xdr:rowOff>
    </xdr:from>
    <xdr:to>
      <xdr:col>13</xdr:col>
      <xdr:colOff>336550</xdr:colOff>
      <xdr:row>11</xdr:row>
      <xdr:rowOff>127000</xdr:rowOff>
    </xdr:to>
    <xdr:pic>
      <xdr:nvPicPr>
        <xdr:cNvPr id="6" name="Picture 5" descr="JH-wordmark-ta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69400" y="393700"/>
          <a:ext cx="3524250" cy="2349500"/>
        </a:xfrm>
        <a:prstGeom prst="rect">
          <a:avLst/>
        </a:prstGeom>
      </xdr:spPr>
    </xdr:pic>
    <xdr:clientData/>
  </xdr:twoCellAnchor>
  <xdr:twoCellAnchor editAs="oneCell">
    <xdr:from>
      <xdr:col>0</xdr:col>
      <xdr:colOff>0</xdr:colOff>
      <xdr:row>52</xdr:row>
      <xdr:rowOff>12700</xdr:rowOff>
    </xdr:from>
    <xdr:to>
      <xdr:col>1</xdr:col>
      <xdr:colOff>1885291</xdr:colOff>
      <xdr:row>57</xdr:row>
      <xdr:rowOff>12701</xdr:rowOff>
    </xdr:to>
    <xdr:pic>
      <xdr:nvPicPr>
        <xdr:cNvPr id="7" name="Picture 6" descr="JH-icon-REV.eps"/>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997" r="-16997"/>
        <a:stretch/>
      </xdr:blipFill>
      <xdr:spPr>
        <a:xfrm>
          <a:off x="0" y="12230100"/>
          <a:ext cx="2329791" cy="11049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482600</xdr:colOff>
      <xdr:row>10</xdr:row>
      <xdr:rowOff>76200</xdr:rowOff>
    </xdr:from>
    <xdr:to>
      <xdr:col>9</xdr:col>
      <xdr:colOff>1092200</xdr:colOff>
      <xdr:row>12</xdr:row>
      <xdr:rowOff>127000</xdr:rowOff>
    </xdr:to>
    <xdr:sp macro="" textlink="">
      <xdr:nvSpPr>
        <xdr:cNvPr id="2" name="TextBox 1"/>
        <xdr:cNvSpPr txBox="1"/>
      </xdr:nvSpPr>
      <xdr:spPr>
        <a:xfrm>
          <a:off x="9004300" y="2222500"/>
          <a:ext cx="609600" cy="5588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3</a:t>
          </a:r>
        </a:p>
      </xdr:txBody>
    </xdr:sp>
    <xdr:clientData/>
  </xdr:twoCellAnchor>
  <xdr:twoCellAnchor>
    <xdr:from>
      <xdr:col>6</xdr:col>
      <xdr:colOff>482600</xdr:colOff>
      <xdr:row>10</xdr:row>
      <xdr:rowOff>76200</xdr:rowOff>
    </xdr:from>
    <xdr:to>
      <xdr:col>6</xdr:col>
      <xdr:colOff>1092200</xdr:colOff>
      <xdr:row>12</xdr:row>
      <xdr:rowOff>127000</xdr:rowOff>
    </xdr:to>
    <xdr:sp macro="" textlink="">
      <xdr:nvSpPr>
        <xdr:cNvPr id="3" name="TextBox 2"/>
        <xdr:cNvSpPr txBox="1"/>
      </xdr:nvSpPr>
      <xdr:spPr>
        <a:xfrm>
          <a:off x="6718300" y="2222500"/>
          <a:ext cx="609600" cy="5588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2</a:t>
          </a:r>
        </a:p>
      </xdr:txBody>
    </xdr:sp>
    <xdr:clientData/>
  </xdr:twoCellAnchor>
  <xdr:twoCellAnchor>
    <xdr:from>
      <xdr:col>3</xdr:col>
      <xdr:colOff>508000</xdr:colOff>
      <xdr:row>10</xdr:row>
      <xdr:rowOff>88900</xdr:rowOff>
    </xdr:from>
    <xdr:to>
      <xdr:col>3</xdr:col>
      <xdr:colOff>1117600</xdr:colOff>
      <xdr:row>12</xdr:row>
      <xdr:rowOff>139700</xdr:rowOff>
    </xdr:to>
    <xdr:sp macro="" textlink="">
      <xdr:nvSpPr>
        <xdr:cNvPr id="4" name="TextBox 3"/>
        <xdr:cNvSpPr txBox="1"/>
      </xdr:nvSpPr>
      <xdr:spPr>
        <a:xfrm>
          <a:off x="4457700" y="2235200"/>
          <a:ext cx="609600" cy="5588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1</a:t>
          </a:r>
        </a:p>
      </xdr:txBody>
    </xdr:sp>
    <xdr:clientData/>
  </xdr:twoCellAnchor>
  <xdr:twoCellAnchor editAs="oneCell">
    <xdr:from>
      <xdr:col>6</xdr:col>
      <xdr:colOff>914400</xdr:colOff>
      <xdr:row>1</xdr:row>
      <xdr:rowOff>38100</xdr:rowOff>
    </xdr:from>
    <xdr:to>
      <xdr:col>11</xdr:col>
      <xdr:colOff>234950</xdr:colOff>
      <xdr:row>11</xdr:row>
      <xdr:rowOff>241300</xdr:rowOff>
    </xdr:to>
    <xdr:pic>
      <xdr:nvPicPr>
        <xdr:cNvPr id="5" name="Picture 4" descr="JH-wordmark-ta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50100" y="228600"/>
          <a:ext cx="3524250" cy="2349500"/>
        </a:xfrm>
        <a:prstGeom prst="rect">
          <a:avLst/>
        </a:prstGeom>
      </xdr:spPr>
    </xdr:pic>
    <xdr:clientData/>
  </xdr:twoCellAnchor>
  <xdr:twoCellAnchor editAs="oneCell">
    <xdr:from>
      <xdr:col>0</xdr:col>
      <xdr:colOff>0</xdr:colOff>
      <xdr:row>29</xdr:row>
      <xdr:rowOff>50800</xdr:rowOff>
    </xdr:from>
    <xdr:to>
      <xdr:col>1</xdr:col>
      <xdr:colOff>1885291</xdr:colOff>
      <xdr:row>34</xdr:row>
      <xdr:rowOff>25401</xdr:rowOff>
    </xdr:to>
    <xdr:pic>
      <xdr:nvPicPr>
        <xdr:cNvPr id="6" name="Picture 5" descr="JH-icon-REV.eps"/>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997" r="-16997"/>
        <a:stretch/>
      </xdr:blipFill>
      <xdr:spPr>
        <a:xfrm>
          <a:off x="0" y="6350000"/>
          <a:ext cx="2329791" cy="1104901"/>
        </a:xfrm>
        <a:prstGeom prst="rect">
          <a:avLst/>
        </a:prstGeom>
      </xdr:spPr>
    </xdr:pic>
    <xdr:clientData/>
  </xdr:twoCellAnchor>
  <xdr:twoCellAnchor editAs="oneCell">
    <xdr:from>
      <xdr:col>9</xdr:col>
      <xdr:colOff>433295</xdr:colOff>
      <xdr:row>1</xdr:row>
      <xdr:rowOff>165100</xdr:rowOff>
    </xdr:from>
    <xdr:to>
      <xdr:col>14</xdr:col>
      <xdr:colOff>304800</xdr:colOff>
      <xdr:row>9</xdr:row>
      <xdr:rowOff>163800</xdr:rowOff>
    </xdr:to>
    <xdr:pic>
      <xdr:nvPicPr>
        <xdr:cNvPr id="7" name="Picture 6" descr="JH-VRES-grey.eps"/>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9780" b="26383"/>
        <a:stretch/>
      </xdr:blipFill>
      <xdr:spPr>
        <a:xfrm>
          <a:off x="8954995" y="355600"/>
          <a:ext cx="4240305" cy="176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482600</xdr:colOff>
      <xdr:row>10</xdr:row>
      <xdr:rowOff>76200</xdr:rowOff>
    </xdr:from>
    <xdr:to>
      <xdr:col>9</xdr:col>
      <xdr:colOff>1092200</xdr:colOff>
      <xdr:row>12</xdr:row>
      <xdr:rowOff>127000</xdr:rowOff>
    </xdr:to>
    <xdr:sp macro="" textlink="">
      <xdr:nvSpPr>
        <xdr:cNvPr id="3" name="TextBox 2"/>
        <xdr:cNvSpPr txBox="1"/>
      </xdr:nvSpPr>
      <xdr:spPr>
        <a:xfrm>
          <a:off x="8877300" y="28448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3</a:t>
          </a:r>
        </a:p>
      </xdr:txBody>
    </xdr:sp>
    <xdr:clientData/>
  </xdr:twoCellAnchor>
  <xdr:twoCellAnchor>
    <xdr:from>
      <xdr:col>6</xdr:col>
      <xdr:colOff>482600</xdr:colOff>
      <xdr:row>10</xdr:row>
      <xdr:rowOff>76200</xdr:rowOff>
    </xdr:from>
    <xdr:to>
      <xdr:col>6</xdr:col>
      <xdr:colOff>1092200</xdr:colOff>
      <xdr:row>12</xdr:row>
      <xdr:rowOff>127000</xdr:rowOff>
    </xdr:to>
    <xdr:sp macro="" textlink="">
      <xdr:nvSpPr>
        <xdr:cNvPr id="4" name="TextBox 3"/>
        <xdr:cNvSpPr txBox="1"/>
      </xdr:nvSpPr>
      <xdr:spPr>
        <a:xfrm>
          <a:off x="6629400" y="28448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2</a:t>
          </a:r>
        </a:p>
      </xdr:txBody>
    </xdr:sp>
    <xdr:clientData/>
  </xdr:twoCellAnchor>
  <xdr:twoCellAnchor>
    <xdr:from>
      <xdr:col>3</xdr:col>
      <xdr:colOff>508000</xdr:colOff>
      <xdr:row>10</xdr:row>
      <xdr:rowOff>88900</xdr:rowOff>
    </xdr:from>
    <xdr:to>
      <xdr:col>3</xdr:col>
      <xdr:colOff>1117600</xdr:colOff>
      <xdr:row>12</xdr:row>
      <xdr:rowOff>139700</xdr:rowOff>
    </xdr:to>
    <xdr:sp macro="" textlink="">
      <xdr:nvSpPr>
        <xdr:cNvPr id="10" name="TextBox 9"/>
        <xdr:cNvSpPr txBox="1"/>
      </xdr:nvSpPr>
      <xdr:spPr>
        <a:xfrm>
          <a:off x="4483100" y="2781300"/>
          <a:ext cx="609600" cy="571500"/>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000">
              <a:latin typeface="Helvetica"/>
              <a:cs typeface="Helvetica"/>
            </a:rPr>
            <a:t>1</a:t>
          </a:r>
        </a:p>
      </xdr:txBody>
    </xdr:sp>
    <xdr:clientData/>
  </xdr:twoCellAnchor>
  <xdr:twoCellAnchor editAs="oneCell">
    <xdr:from>
      <xdr:col>9</xdr:col>
      <xdr:colOff>647700</xdr:colOff>
      <xdr:row>1</xdr:row>
      <xdr:rowOff>12700</xdr:rowOff>
    </xdr:from>
    <xdr:to>
      <xdr:col>13</xdr:col>
      <xdr:colOff>336550</xdr:colOff>
      <xdr:row>11</xdr:row>
      <xdr:rowOff>127000</xdr:rowOff>
    </xdr:to>
    <xdr:pic>
      <xdr:nvPicPr>
        <xdr:cNvPr id="2" name="Picture 1" descr="JH-wordmark-ta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3800" y="393700"/>
          <a:ext cx="3524250" cy="2349500"/>
        </a:xfrm>
        <a:prstGeom prst="rect">
          <a:avLst/>
        </a:prstGeom>
      </xdr:spPr>
    </xdr:pic>
    <xdr:clientData/>
  </xdr:twoCellAnchor>
  <xdr:twoCellAnchor editAs="oneCell">
    <xdr:from>
      <xdr:col>0</xdr:col>
      <xdr:colOff>0</xdr:colOff>
      <xdr:row>81</xdr:row>
      <xdr:rowOff>46568</xdr:rowOff>
    </xdr:from>
    <xdr:to>
      <xdr:col>1</xdr:col>
      <xdr:colOff>1885291</xdr:colOff>
      <xdr:row>86</xdr:row>
      <xdr:rowOff>21169</xdr:rowOff>
    </xdr:to>
    <xdr:pic>
      <xdr:nvPicPr>
        <xdr:cNvPr id="6" name="Picture 5" descr="JH-icon-REV.eps"/>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997" r="-16997"/>
        <a:stretch/>
      </xdr:blipFill>
      <xdr:spPr>
        <a:xfrm>
          <a:off x="0" y="17864668"/>
          <a:ext cx="2329791" cy="1104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5.vml"/><Relationship Id="rId3"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M90"/>
  <sheetViews>
    <sheetView showGridLines="0" topLeftCell="A69" workbookViewId="0">
      <selection activeCell="B79" sqref="B79"/>
    </sheetView>
  </sheetViews>
  <sheetFormatPr baseColWidth="10" defaultRowHeight="15" x14ac:dyDescent="0"/>
  <cols>
    <col min="1" max="1" width="5.83203125" customWidth="1"/>
    <col min="2" max="2" width="36.5" customWidth="1"/>
    <col min="3" max="3" width="4.83203125" customWidth="1"/>
    <col min="4" max="4" width="20.33203125" customWidth="1"/>
    <col min="5" max="6" width="4.83203125" customWidth="1"/>
    <col min="7" max="7" width="20.33203125" customWidth="1"/>
    <col min="8" max="9" width="4.83203125" customWidth="1"/>
    <col min="10" max="10" width="20.33203125" customWidth="1"/>
    <col min="11" max="12" width="4.83203125" customWidth="1"/>
    <col min="13" max="13" width="20.33203125" customWidth="1"/>
    <col min="14" max="14" width="7" customWidth="1"/>
  </cols>
  <sheetData>
    <row r="2" spans="2:13" ht="25" customHeight="1">
      <c r="B2" s="61" t="s">
        <v>64</v>
      </c>
      <c r="C2" s="1"/>
      <c r="D2" s="2"/>
      <c r="E2" s="2"/>
      <c r="F2" s="2"/>
      <c r="G2" s="2"/>
      <c r="H2" s="3"/>
      <c r="I2" s="3"/>
      <c r="J2" s="3"/>
      <c r="K2" s="3"/>
      <c r="L2" s="2"/>
      <c r="M2" s="2"/>
    </row>
    <row r="3" spans="2:13" s="4" customFormat="1" ht="14" customHeight="1">
      <c r="B3" s="12"/>
      <c r="C3" s="13"/>
      <c r="D3" s="14"/>
      <c r="E3" s="14"/>
      <c r="F3" s="14"/>
      <c r="G3" s="14"/>
      <c r="H3" s="15"/>
      <c r="I3" s="15"/>
      <c r="J3" s="15"/>
      <c r="K3" s="15"/>
      <c r="L3" s="14"/>
      <c r="M3" s="14"/>
    </row>
    <row r="4" spans="2:13" ht="25">
      <c r="B4" s="64" t="s">
        <v>117</v>
      </c>
      <c r="C4" s="4"/>
      <c r="D4" s="4"/>
      <c r="E4" s="4"/>
      <c r="F4" s="4"/>
      <c r="G4" s="4"/>
      <c r="H4" s="5"/>
      <c r="I4" s="5"/>
      <c r="J4" s="5"/>
      <c r="K4" s="5"/>
      <c r="L4" s="4"/>
      <c r="M4" s="4"/>
    </row>
    <row r="5" spans="2:13" ht="16">
      <c r="B5" s="26" t="s">
        <v>138</v>
      </c>
      <c r="C5" s="6"/>
      <c r="D5" s="6"/>
      <c r="E5" s="4"/>
      <c r="H5" s="5"/>
      <c r="I5" s="4"/>
      <c r="J5" s="5"/>
      <c r="L5" s="4"/>
      <c r="M5" s="4"/>
    </row>
    <row r="6" spans="2:13" ht="16">
      <c r="B6" s="26" t="s">
        <v>75</v>
      </c>
      <c r="D6" s="4"/>
      <c r="E6" s="4"/>
      <c r="H6" s="5"/>
      <c r="I6" s="4"/>
      <c r="J6" s="5"/>
      <c r="L6" s="4"/>
      <c r="M6" s="4"/>
    </row>
    <row r="7" spans="2:13" ht="16">
      <c r="B7" s="26" t="s">
        <v>59</v>
      </c>
      <c r="D7" s="4"/>
      <c r="E7" s="4"/>
      <c r="H7" s="5"/>
      <c r="I7" s="4"/>
      <c r="J7" s="5"/>
      <c r="L7" s="4"/>
      <c r="M7" s="4"/>
    </row>
    <row r="8" spans="2:13" ht="16">
      <c r="B8" s="27"/>
      <c r="D8" s="6"/>
      <c r="E8" s="4"/>
      <c r="G8" s="7"/>
      <c r="H8" s="4"/>
      <c r="I8" s="5"/>
      <c r="J8" s="5"/>
      <c r="K8" s="7"/>
      <c r="L8" s="4"/>
      <c r="M8" s="4"/>
    </row>
    <row r="9" spans="2:13" ht="16">
      <c r="B9" s="28" t="s">
        <v>92</v>
      </c>
      <c r="E9" s="4"/>
      <c r="G9" s="7"/>
      <c r="H9" s="4"/>
      <c r="I9" s="5"/>
      <c r="J9" s="5"/>
      <c r="K9" s="7"/>
      <c r="L9" s="4"/>
      <c r="M9" s="4"/>
    </row>
    <row r="10" spans="2:13" ht="16">
      <c r="B10" s="7"/>
      <c r="C10" s="6"/>
      <c r="E10" s="4"/>
      <c r="F10" s="8"/>
      <c r="G10" s="6"/>
      <c r="H10" s="4"/>
      <c r="I10" s="5"/>
      <c r="J10" s="5"/>
      <c r="K10" s="8"/>
      <c r="L10" s="4"/>
      <c r="M10" s="4"/>
    </row>
    <row r="11" spans="2:13" ht="16">
      <c r="B11" s="4"/>
      <c r="C11" s="4"/>
      <c r="D11" s="4"/>
      <c r="E11" s="4"/>
      <c r="F11" s="4"/>
      <c r="G11" s="4"/>
      <c r="H11" s="4"/>
      <c r="I11" s="4"/>
      <c r="J11" s="5"/>
      <c r="K11" s="5"/>
      <c r="L11" s="5"/>
      <c r="M11" s="5"/>
    </row>
    <row r="12" spans="2:13" ht="25">
      <c r="B12" s="61" t="s">
        <v>1</v>
      </c>
      <c r="C12" s="9"/>
      <c r="D12" s="10"/>
      <c r="E12" s="10"/>
      <c r="F12" s="10"/>
      <c r="G12" s="10"/>
      <c r="H12" s="10"/>
      <c r="I12" s="10"/>
      <c r="J12" s="10"/>
      <c r="K12" s="10"/>
      <c r="L12" s="10"/>
      <c r="M12" s="63" t="s">
        <v>72</v>
      </c>
    </row>
    <row r="13" spans="2:13">
      <c r="B13" s="4"/>
      <c r="C13" s="4"/>
      <c r="D13" s="11"/>
      <c r="E13" s="11"/>
      <c r="F13" s="11"/>
      <c r="G13" s="11"/>
      <c r="H13" s="11"/>
      <c r="I13" s="11"/>
      <c r="J13" s="11"/>
      <c r="K13" s="11"/>
      <c r="L13" s="11"/>
      <c r="M13" s="11"/>
    </row>
    <row r="14" spans="2:13" s="27" customFormat="1" ht="17" customHeight="1">
      <c r="B14" s="75" t="s">
        <v>74</v>
      </c>
      <c r="C14" s="28"/>
      <c r="D14" s="29" t="s">
        <v>123</v>
      </c>
      <c r="E14" s="30"/>
      <c r="F14" s="28"/>
      <c r="G14" s="29" t="s">
        <v>140</v>
      </c>
      <c r="H14" s="30"/>
      <c r="I14" s="28"/>
      <c r="J14" s="29" t="s">
        <v>141</v>
      </c>
      <c r="K14" s="30"/>
      <c r="L14" s="30"/>
      <c r="M14" s="29"/>
    </row>
    <row r="15" spans="2:13" s="27" customFormat="1" ht="17" customHeight="1">
      <c r="B15" s="75" t="s">
        <v>154</v>
      </c>
      <c r="C15" s="28"/>
      <c r="D15" s="29" t="s">
        <v>142</v>
      </c>
      <c r="E15" s="30"/>
      <c r="F15" s="28"/>
      <c r="G15" s="29" t="s">
        <v>143</v>
      </c>
      <c r="H15" s="30"/>
      <c r="I15" s="28"/>
      <c r="J15" s="29" t="s">
        <v>142</v>
      </c>
      <c r="K15" s="30"/>
      <c r="L15" s="30"/>
      <c r="M15" s="29"/>
    </row>
    <row r="16" spans="2:13" s="27" customFormat="1" ht="66" customHeight="1">
      <c r="B16" s="33" t="s">
        <v>60</v>
      </c>
      <c r="C16" s="28"/>
      <c r="D16" s="60" t="s">
        <v>146</v>
      </c>
      <c r="E16" s="73"/>
      <c r="F16" s="73"/>
      <c r="G16" s="60" t="s">
        <v>145</v>
      </c>
      <c r="H16" s="73"/>
      <c r="I16" s="73"/>
      <c r="J16" s="60" t="s">
        <v>150</v>
      </c>
      <c r="K16" s="73"/>
      <c r="L16" s="73"/>
      <c r="M16" s="60"/>
    </row>
    <row r="17" spans="2:13" s="27" customFormat="1" ht="17" customHeight="1">
      <c r="B17" s="28" t="s">
        <v>144</v>
      </c>
      <c r="C17" s="28"/>
      <c r="D17" s="128">
        <v>1081</v>
      </c>
      <c r="E17" s="101"/>
      <c r="F17" s="102"/>
      <c r="G17" s="128">
        <v>1060</v>
      </c>
      <c r="H17" s="101"/>
      <c r="I17" s="102"/>
      <c r="J17" s="128">
        <v>905</v>
      </c>
      <c r="K17" s="101"/>
      <c r="L17" s="101"/>
      <c r="M17" s="128"/>
    </row>
    <row r="18" spans="2:13" s="27" customFormat="1" ht="17" customHeight="1">
      <c r="B18" s="28" t="s">
        <v>3</v>
      </c>
      <c r="C18" s="28"/>
      <c r="D18" s="41">
        <v>1993</v>
      </c>
      <c r="E18" s="28"/>
      <c r="F18" s="28"/>
      <c r="G18" s="41">
        <v>1991</v>
      </c>
      <c r="H18" s="28"/>
      <c r="I18" s="28"/>
      <c r="J18" s="41">
        <v>1994</v>
      </c>
      <c r="K18" s="28"/>
      <c r="L18" s="28"/>
      <c r="M18" s="41"/>
    </row>
    <row r="19" spans="2:13" s="27" customFormat="1" ht="17" customHeight="1">
      <c r="B19" s="28" t="s">
        <v>4</v>
      </c>
      <c r="C19" s="28"/>
      <c r="D19" s="34">
        <v>550000</v>
      </c>
      <c r="E19" s="35"/>
      <c r="F19" s="28"/>
      <c r="G19" s="34">
        <v>662000</v>
      </c>
      <c r="H19" s="35"/>
      <c r="I19" s="28"/>
      <c r="J19" s="34">
        <v>570000</v>
      </c>
      <c r="K19" s="35"/>
      <c r="L19" s="35"/>
      <c r="M19" s="34"/>
    </row>
    <row r="20" spans="2:13" s="27" customFormat="1" ht="17" customHeight="1">
      <c r="B20" s="28" t="s">
        <v>119</v>
      </c>
      <c r="C20" s="28"/>
      <c r="D20" s="34">
        <v>859100</v>
      </c>
      <c r="E20" s="35"/>
      <c r="F20" s="28"/>
      <c r="G20" s="34">
        <v>938000</v>
      </c>
      <c r="H20" s="35"/>
      <c r="I20" s="28"/>
      <c r="J20" s="34">
        <v>913000</v>
      </c>
      <c r="K20" s="35"/>
      <c r="L20" s="35"/>
      <c r="M20" s="34"/>
    </row>
    <row r="21" spans="2:13" s="27" customFormat="1" ht="17" customHeight="1">
      <c r="B21" s="28"/>
      <c r="C21" s="28"/>
      <c r="D21" s="36"/>
      <c r="E21" s="28"/>
      <c r="F21" s="28"/>
      <c r="G21" s="36"/>
      <c r="H21" s="28"/>
      <c r="I21" s="28"/>
      <c r="J21" s="36"/>
      <c r="K21" s="28"/>
      <c r="L21" s="28"/>
      <c r="M21" s="36"/>
    </row>
    <row r="22" spans="2:13" s="27" customFormat="1" ht="17" customHeight="1">
      <c r="B22" s="122" t="s">
        <v>149</v>
      </c>
      <c r="C22" s="123"/>
      <c r="D22" s="124"/>
      <c r="E22" s="124"/>
      <c r="F22" s="123"/>
      <c r="G22" s="124"/>
      <c r="H22" s="124"/>
      <c r="I22" s="123"/>
      <c r="J22" s="124"/>
      <c r="K22" s="124"/>
      <c r="L22" s="124"/>
      <c r="M22" s="124"/>
    </row>
    <row r="23" spans="2:13" s="27" customFormat="1" ht="17" customHeight="1">
      <c r="B23" s="28" t="s">
        <v>6</v>
      </c>
      <c r="C23" s="28"/>
      <c r="D23" s="34">
        <f>0.2*D19</f>
        <v>110000</v>
      </c>
      <c r="E23" s="35"/>
      <c r="F23" s="28"/>
      <c r="G23" s="34">
        <f>0.2*G19</f>
        <v>132400</v>
      </c>
      <c r="H23" s="35"/>
      <c r="I23" s="28"/>
      <c r="J23" s="34">
        <f>0.2*J19</f>
        <v>114000</v>
      </c>
      <c r="K23" s="35"/>
      <c r="L23" s="35"/>
      <c r="M23" s="34"/>
    </row>
    <row r="24" spans="2:13" s="27" customFormat="1" ht="17" customHeight="1">
      <c r="B24" s="28" t="s">
        <v>7</v>
      </c>
      <c r="C24" s="28"/>
      <c r="D24" s="35">
        <f>D19-D23</f>
        <v>440000</v>
      </c>
      <c r="E24" s="35"/>
      <c r="F24" s="28"/>
      <c r="G24" s="35">
        <f>G19-G23</f>
        <v>529600</v>
      </c>
      <c r="H24" s="35"/>
      <c r="I24" s="28"/>
      <c r="J24" s="35">
        <f>J19-J23</f>
        <v>456000</v>
      </c>
      <c r="K24" s="35"/>
      <c r="L24" s="35"/>
      <c r="M24" s="35">
        <f>M19-M23</f>
        <v>0</v>
      </c>
    </row>
    <row r="25" spans="2:13" s="27" customFormat="1" ht="17" customHeight="1">
      <c r="B25" s="28" t="s">
        <v>8</v>
      </c>
      <c r="C25" s="28"/>
      <c r="D25" s="39">
        <v>2.4899999999999999E-2</v>
      </c>
      <c r="E25" s="78"/>
      <c r="F25" s="28"/>
      <c r="G25" s="39">
        <v>2.4899999999999999E-2</v>
      </c>
      <c r="H25" s="78"/>
      <c r="I25" s="28"/>
      <c r="J25" s="39">
        <v>2.4899999999999999E-2</v>
      </c>
      <c r="K25" s="78"/>
      <c r="L25" s="78"/>
      <c r="M25" s="39"/>
    </row>
    <row r="26" spans="2:13" s="27" customFormat="1" ht="17" customHeight="1">
      <c r="B26" s="48" t="s">
        <v>9</v>
      </c>
      <c r="C26" s="48"/>
      <c r="D26" s="79">
        <f>D25/D28</f>
        <v>2.075E-3</v>
      </c>
      <c r="E26" s="53"/>
      <c r="F26" s="48"/>
      <c r="G26" s="79">
        <f>G25/G28</f>
        <v>2.075E-3</v>
      </c>
      <c r="H26" s="53"/>
      <c r="I26" s="48"/>
      <c r="J26" s="79">
        <f>J25/J28</f>
        <v>2.075E-3</v>
      </c>
      <c r="K26" s="53"/>
      <c r="L26" s="53"/>
      <c r="M26" s="79">
        <f>M25/M28</f>
        <v>0</v>
      </c>
    </row>
    <row r="27" spans="2:13" s="27" customFormat="1" ht="17" customHeight="1">
      <c r="B27" s="28" t="s">
        <v>10</v>
      </c>
      <c r="C27" s="28"/>
      <c r="D27" s="41">
        <v>1</v>
      </c>
      <c r="E27" s="80"/>
      <c r="F27" s="28"/>
      <c r="G27" s="41">
        <v>1</v>
      </c>
      <c r="H27" s="80"/>
      <c r="I27" s="28"/>
      <c r="J27" s="41">
        <v>1</v>
      </c>
      <c r="K27" s="80"/>
      <c r="L27" s="80"/>
      <c r="M27" s="41"/>
    </row>
    <row r="28" spans="2:13" s="27" customFormat="1" ht="17" customHeight="1">
      <c r="B28" s="28" t="s">
        <v>11</v>
      </c>
      <c r="C28" s="28"/>
      <c r="D28" s="81">
        <v>12</v>
      </c>
      <c r="E28" s="28"/>
      <c r="F28" s="28"/>
      <c r="G28" s="81">
        <v>12</v>
      </c>
      <c r="H28" s="28"/>
      <c r="I28" s="28"/>
      <c r="J28" s="81">
        <v>12</v>
      </c>
      <c r="K28" s="28"/>
      <c r="L28" s="28"/>
      <c r="M28" s="81">
        <v>12</v>
      </c>
    </row>
    <row r="29" spans="2:13" s="27" customFormat="1" ht="17" customHeight="1">
      <c r="B29" s="48" t="s">
        <v>12</v>
      </c>
      <c r="C29" s="48"/>
      <c r="D29" s="82">
        <f>D27*D28</f>
        <v>12</v>
      </c>
      <c r="E29" s="48"/>
      <c r="F29" s="48"/>
      <c r="G29" s="82">
        <f>G27*G28</f>
        <v>12</v>
      </c>
      <c r="H29" s="48"/>
      <c r="I29" s="48"/>
      <c r="J29" s="82">
        <f>J27*J28</f>
        <v>12</v>
      </c>
      <c r="K29" s="48"/>
      <c r="L29" s="48"/>
      <c r="M29" s="82">
        <f>M27*M28</f>
        <v>0</v>
      </c>
    </row>
    <row r="30" spans="2:13" s="27" customFormat="1" ht="17" customHeight="1">
      <c r="B30" s="28" t="s">
        <v>13</v>
      </c>
      <c r="C30" s="28"/>
      <c r="D30" s="41">
        <v>25</v>
      </c>
      <c r="E30" s="28"/>
      <c r="F30" s="28"/>
      <c r="G30" s="41">
        <v>25</v>
      </c>
      <c r="H30" s="28"/>
      <c r="I30" s="28"/>
      <c r="J30" s="41">
        <v>25</v>
      </c>
      <c r="K30" s="28"/>
      <c r="L30" s="28"/>
      <c r="M30" s="41"/>
    </row>
    <row r="31" spans="2:13" s="27" customFormat="1" ht="17" customHeight="1">
      <c r="B31" s="48" t="s">
        <v>14</v>
      </c>
      <c r="C31" s="48"/>
      <c r="D31" s="121">
        <f>D28*D30</f>
        <v>300</v>
      </c>
      <c r="E31" s="48"/>
      <c r="F31" s="48"/>
      <c r="G31" s="121">
        <f>G28*G30</f>
        <v>300</v>
      </c>
      <c r="H31" s="48"/>
      <c r="I31" s="48"/>
      <c r="J31" s="121">
        <f>J28*J30</f>
        <v>300</v>
      </c>
      <c r="K31" s="48"/>
      <c r="L31" s="48"/>
      <c r="M31" s="121">
        <f>M28*M30</f>
        <v>0</v>
      </c>
    </row>
    <row r="32" spans="2:13" s="27" customFormat="1" ht="17" customHeight="1">
      <c r="B32" s="83" t="s">
        <v>15</v>
      </c>
      <c r="C32" s="28"/>
      <c r="D32" s="95">
        <f>-PMT(D26,D31,D24)</f>
        <v>1971.6984593296324</v>
      </c>
      <c r="E32" s="36"/>
      <c r="F32" s="28"/>
      <c r="G32" s="95">
        <f>-PMT(G26,G31,G24)</f>
        <v>2373.2079637749393</v>
      </c>
      <c r="H32" s="36"/>
      <c r="I32" s="28"/>
      <c r="J32" s="95">
        <f>-PMT(J26,J31,J24)</f>
        <v>2043.3965851234375</v>
      </c>
      <c r="K32" s="36"/>
      <c r="L32" s="36"/>
      <c r="M32" s="95" t="e">
        <f>-PMT(M26,M31,M24)</f>
        <v>#NUM!</v>
      </c>
    </row>
    <row r="33" spans="2:13" s="27" customFormat="1" ht="17" customHeight="1">
      <c r="B33" s="28"/>
      <c r="C33" s="28"/>
      <c r="D33" s="84"/>
      <c r="E33" s="36"/>
      <c r="F33" s="28"/>
      <c r="G33" s="84"/>
      <c r="H33" s="36"/>
      <c r="I33" s="28"/>
      <c r="J33" s="84"/>
      <c r="K33" s="36"/>
      <c r="L33" s="36"/>
      <c r="M33" s="84"/>
    </row>
    <row r="34" spans="2:13" s="27" customFormat="1" ht="17" customHeight="1">
      <c r="B34" s="122" t="s">
        <v>139</v>
      </c>
      <c r="C34" s="123"/>
      <c r="D34" s="124"/>
      <c r="E34" s="124"/>
      <c r="F34" s="123"/>
      <c r="G34" s="124"/>
      <c r="H34" s="124"/>
      <c r="I34" s="123"/>
      <c r="J34" s="124"/>
      <c r="K34" s="124"/>
      <c r="L34" s="124"/>
      <c r="M34" s="124"/>
    </row>
    <row r="35" spans="2:13" s="27" customFormat="1" ht="17" customHeight="1">
      <c r="B35" s="85" t="s">
        <v>4</v>
      </c>
      <c r="C35" s="28"/>
      <c r="D35" s="55">
        <f>D19</f>
        <v>550000</v>
      </c>
      <c r="E35" s="28"/>
      <c r="F35" s="28"/>
      <c r="G35" s="55">
        <f>G19</f>
        <v>662000</v>
      </c>
      <c r="H35" s="48"/>
      <c r="I35" s="48"/>
      <c r="J35" s="55">
        <f>J19</f>
        <v>570000</v>
      </c>
      <c r="K35" s="48"/>
      <c r="L35" s="48"/>
      <c r="M35" s="55">
        <f>M19</f>
        <v>0</v>
      </c>
    </row>
    <row r="36" spans="2:13" s="27" customFormat="1" ht="17" customHeight="1">
      <c r="B36" s="85" t="s">
        <v>17</v>
      </c>
      <c r="C36" s="28"/>
      <c r="D36" s="116">
        <f>2000+0.02*(D19-200000)</f>
        <v>9000</v>
      </c>
      <c r="E36" s="48"/>
      <c r="F36" s="48"/>
      <c r="G36" s="116">
        <f>2000+0.02*(G19-200000)</f>
        <v>11240</v>
      </c>
      <c r="H36" s="48"/>
      <c r="I36" s="48"/>
      <c r="J36" s="116">
        <f>2000+0.02*(J19-200000)</f>
        <v>9400</v>
      </c>
      <c r="K36" s="48"/>
      <c r="L36" s="48"/>
      <c r="M36" s="116">
        <f>2000+0.02*(M19-200000)</f>
        <v>-2000</v>
      </c>
    </row>
    <row r="37" spans="2:13" s="27" customFormat="1" ht="17" customHeight="1">
      <c r="B37" s="85" t="s">
        <v>18</v>
      </c>
      <c r="C37" s="28"/>
      <c r="D37" s="34">
        <v>1100</v>
      </c>
      <c r="E37" s="28"/>
      <c r="F37" s="28"/>
      <c r="G37" s="34">
        <v>1100</v>
      </c>
      <c r="H37" s="28"/>
      <c r="I37" s="28"/>
      <c r="J37" s="34">
        <v>1100</v>
      </c>
      <c r="K37" s="28"/>
      <c r="L37" s="28"/>
      <c r="M37" s="34"/>
    </row>
    <row r="38" spans="2:13" s="27" customFormat="1" ht="17" customHeight="1">
      <c r="B38" s="85" t="s">
        <v>19</v>
      </c>
      <c r="C38" s="28"/>
      <c r="D38" s="34">
        <v>300</v>
      </c>
      <c r="E38" s="28"/>
      <c r="F38" s="28"/>
      <c r="G38" s="34">
        <v>300</v>
      </c>
      <c r="H38" s="28"/>
      <c r="I38" s="28"/>
      <c r="J38" s="34">
        <v>300</v>
      </c>
      <c r="K38" s="28"/>
      <c r="L38" s="28"/>
      <c r="M38" s="34"/>
    </row>
    <row r="39" spans="2:13" s="27" customFormat="1" ht="17" customHeight="1">
      <c r="B39" s="45" t="s">
        <v>20</v>
      </c>
      <c r="C39" s="28"/>
      <c r="D39" s="34">
        <v>0</v>
      </c>
      <c r="E39" s="28"/>
      <c r="F39" s="28"/>
      <c r="G39" s="34">
        <v>0</v>
      </c>
      <c r="H39" s="28"/>
      <c r="I39" s="28"/>
      <c r="J39" s="34">
        <v>0</v>
      </c>
      <c r="K39" s="28"/>
      <c r="L39" s="28"/>
      <c r="M39" s="34"/>
    </row>
    <row r="40" spans="2:13" s="27" customFormat="1" ht="17" customHeight="1">
      <c r="B40" s="45" t="s">
        <v>71</v>
      </c>
      <c r="C40" s="28"/>
      <c r="D40" s="49"/>
      <c r="E40" s="35"/>
      <c r="F40" s="28"/>
      <c r="G40" s="49"/>
      <c r="H40" s="35"/>
      <c r="I40" s="28"/>
      <c r="J40" s="49"/>
      <c r="K40" s="35"/>
      <c r="L40" s="28"/>
      <c r="M40" s="49"/>
    </row>
    <row r="41" spans="2:13" s="27" customFormat="1" ht="17" customHeight="1">
      <c r="B41" s="86" t="s">
        <v>22</v>
      </c>
      <c r="C41" s="28"/>
      <c r="D41" s="52">
        <f>SUM(D35:D40)</f>
        <v>560400</v>
      </c>
      <c r="E41" s="87"/>
      <c r="F41" s="88"/>
      <c r="G41" s="52">
        <f>SUM(G35:G40)</f>
        <v>674640</v>
      </c>
      <c r="H41" s="87"/>
      <c r="I41" s="88"/>
      <c r="J41" s="52">
        <f>SUM(J35:J40)</f>
        <v>580800</v>
      </c>
      <c r="K41" s="87"/>
      <c r="L41" s="88"/>
      <c r="M41" s="52">
        <f>SUM(M35:M40)</f>
        <v>-2000</v>
      </c>
    </row>
    <row r="42" spans="2:13" s="27" customFormat="1" ht="17" customHeight="1">
      <c r="B42" s="28"/>
      <c r="C42" s="28"/>
      <c r="D42" s="35"/>
      <c r="E42" s="28"/>
      <c r="F42" s="28"/>
      <c r="G42" s="35"/>
      <c r="H42" s="28"/>
      <c r="I42" s="28"/>
      <c r="J42" s="35"/>
      <c r="K42" s="28"/>
      <c r="L42" s="28"/>
      <c r="M42" s="35"/>
    </row>
    <row r="43" spans="2:13" s="27" customFormat="1" ht="17" customHeight="1">
      <c r="B43" s="122" t="s">
        <v>129</v>
      </c>
      <c r="C43" s="123"/>
      <c r="D43" s="124"/>
      <c r="E43" s="124"/>
      <c r="F43" s="123"/>
      <c r="G43" s="124"/>
      <c r="H43" s="124"/>
      <c r="I43" s="123"/>
      <c r="J43" s="124"/>
      <c r="K43" s="124"/>
      <c r="L43" s="124"/>
      <c r="M43" s="124"/>
    </row>
    <row r="44" spans="2:13" s="27" customFormat="1" ht="17" customHeight="1">
      <c r="B44" s="28" t="s">
        <v>153</v>
      </c>
      <c r="C44" s="34">
        <v>60</v>
      </c>
      <c r="D44" s="34">
        <f>C44*D17</f>
        <v>64860</v>
      </c>
      <c r="E44" s="35"/>
      <c r="F44" s="34">
        <v>60</v>
      </c>
      <c r="G44" s="34">
        <f>F44*G17</f>
        <v>63600</v>
      </c>
      <c r="H44" s="35"/>
      <c r="I44" s="34">
        <v>60</v>
      </c>
      <c r="J44" s="34">
        <f>I44*J17</f>
        <v>54300</v>
      </c>
      <c r="K44" s="35"/>
      <c r="L44" s="34"/>
      <c r="M44" s="34"/>
    </row>
    <row r="45" spans="2:13" s="27" customFormat="1" ht="17" customHeight="1">
      <c r="D45" s="34"/>
      <c r="E45" s="35"/>
      <c r="F45" s="28"/>
      <c r="G45" s="34"/>
      <c r="H45" s="35"/>
      <c r="I45" s="28"/>
      <c r="J45" s="34"/>
      <c r="K45" s="35"/>
      <c r="L45" s="28"/>
      <c r="M45" s="34"/>
    </row>
    <row r="46" spans="2:13" s="27" customFormat="1" ht="17" customHeight="1">
      <c r="B46" s="28"/>
      <c r="C46" s="28"/>
      <c r="D46" s="34"/>
      <c r="E46" s="35"/>
      <c r="F46" s="28"/>
      <c r="G46" s="34"/>
      <c r="H46" s="35"/>
      <c r="I46" s="28"/>
      <c r="J46" s="34"/>
      <c r="K46" s="35"/>
      <c r="L46" s="28"/>
      <c r="M46" s="34"/>
    </row>
    <row r="47" spans="2:13" s="27" customFormat="1" ht="17" customHeight="1">
      <c r="B47" s="28"/>
      <c r="C47" s="28"/>
      <c r="D47" s="34"/>
      <c r="E47" s="35"/>
      <c r="F47" s="28"/>
      <c r="G47" s="34"/>
      <c r="H47" s="35"/>
      <c r="I47" s="28"/>
      <c r="J47" s="34"/>
      <c r="K47" s="35"/>
      <c r="L47" s="28"/>
      <c r="M47" s="34"/>
    </row>
    <row r="48" spans="2:13" s="27" customFormat="1" ht="17" customHeight="1">
      <c r="B48" s="28"/>
      <c r="C48" s="28"/>
      <c r="D48" s="34"/>
      <c r="E48" s="35"/>
      <c r="F48" s="28"/>
      <c r="G48" s="34"/>
      <c r="H48" s="35"/>
      <c r="I48" s="28"/>
      <c r="J48" s="34"/>
      <c r="K48" s="35"/>
      <c r="L48" s="28"/>
      <c r="M48" s="34"/>
    </row>
    <row r="49" spans="2:13" s="27" customFormat="1" ht="17" customHeight="1">
      <c r="B49" s="28"/>
      <c r="C49" s="28"/>
      <c r="D49" s="49"/>
      <c r="E49" s="58"/>
      <c r="F49" s="28"/>
      <c r="G49" s="49"/>
      <c r="H49" s="58"/>
      <c r="I49" s="28"/>
      <c r="J49" s="49"/>
      <c r="K49" s="58"/>
      <c r="L49" s="28"/>
      <c r="M49" s="49"/>
    </row>
    <row r="50" spans="2:13" s="27" customFormat="1" ht="17" customHeight="1">
      <c r="B50" s="83" t="s">
        <v>30</v>
      </c>
      <c r="C50" s="28"/>
      <c r="D50" s="89">
        <f>SUM(D44:D49)</f>
        <v>64860</v>
      </c>
      <c r="E50" s="58"/>
      <c r="F50" s="28"/>
      <c r="G50" s="89">
        <f>SUM(G44:G49)</f>
        <v>63600</v>
      </c>
      <c r="H50" s="58"/>
      <c r="I50" s="28"/>
      <c r="J50" s="89">
        <f>SUM(J44:J49)</f>
        <v>54300</v>
      </c>
      <c r="K50" s="58"/>
      <c r="L50" s="28"/>
      <c r="M50" s="89">
        <f>SUM(M44:M49)</f>
        <v>0</v>
      </c>
    </row>
    <row r="51" spans="2:13" s="27" customFormat="1" ht="17" customHeight="1">
      <c r="B51" s="28"/>
      <c r="C51" s="28"/>
      <c r="D51" s="28"/>
      <c r="E51" s="28"/>
      <c r="F51" s="28"/>
      <c r="G51" s="28"/>
      <c r="H51" s="28"/>
      <c r="I51" s="28"/>
      <c r="J51" s="28"/>
      <c r="K51" s="28"/>
      <c r="L51" s="28"/>
      <c r="M51" s="28"/>
    </row>
    <row r="52" spans="2:13" s="27" customFormat="1" ht="17" customHeight="1">
      <c r="B52" s="122" t="s">
        <v>130</v>
      </c>
      <c r="C52" s="123"/>
      <c r="D52" s="124"/>
      <c r="E52" s="124"/>
      <c r="F52" s="123"/>
      <c r="G52" s="124"/>
      <c r="H52" s="124"/>
      <c r="I52" s="123"/>
      <c r="J52" s="124"/>
      <c r="K52" s="124"/>
      <c r="L52" s="124"/>
      <c r="M52" s="124"/>
    </row>
    <row r="53" spans="2:13" s="27" customFormat="1" ht="17" customHeight="1">
      <c r="B53" s="28" t="s">
        <v>122</v>
      </c>
      <c r="C53" s="28"/>
      <c r="D53" s="34">
        <f>D32</f>
        <v>1971.6984593296324</v>
      </c>
      <c r="E53" s="77"/>
      <c r="F53" s="28"/>
      <c r="G53" s="34">
        <f>G32</f>
        <v>2373.2079637749393</v>
      </c>
      <c r="H53" s="77"/>
      <c r="I53" s="28"/>
      <c r="J53" s="34">
        <f>J32</f>
        <v>2043.3965851234375</v>
      </c>
      <c r="K53" s="77"/>
      <c r="L53" s="28"/>
      <c r="M53" s="34"/>
    </row>
    <row r="54" spans="2:13" s="27" customFormat="1" ht="17" customHeight="1">
      <c r="B54" s="28" t="s">
        <v>32</v>
      </c>
      <c r="C54" s="28"/>
      <c r="D54" s="34">
        <v>50</v>
      </c>
      <c r="E54" s="77"/>
      <c r="F54" s="28"/>
      <c r="G54" s="34">
        <v>50</v>
      </c>
      <c r="H54" s="77"/>
      <c r="I54" s="28"/>
      <c r="J54" s="34">
        <v>50</v>
      </c>
      <c r="K54" s="77"/>
      <c r="L54" s="28"/>
      <c r="M54" s="34"/>
    </row>
    <row r="55" spans="2:13" s="27" customFormat="1" ht="17" customHeight="1">
      <c r="B55" s="28" t="s">
        <v>33</v>
      </c>
      <c r="C55" s="28"/>
      <c r="D55" s="34">
        <v>50</v>
      </c>
      <c r="E55" s="77"/>
      <c r="F55" s="28"/>
      <c r="G55" s="34">
        <v>50</v>
      </c>
      <c r="H55" s="77"/>
      <c r="I55" s="28"/>
      <c r="J55" s="34">
        <v>50</v>
      </c>
      <c r="K55" s="77"/>
      <c r="L55" s="28"/>
      <c r="M55" s="34"/>
    </row>
    <row r="56" spans="2:13" s="27" customFormat="1" ht="17" customHeight="1">
      <c r="B56" s="28" t="s">
        <v>34</v>
      </c>
      <c r="C56" s="28"/>
      <c r="D56" s="34">
        <v>0</v>
      </c>
      <c r="E56" s="77"/>
      <c r="F56" s="28"/>
      <c r="G56" s="34">
        <v>0</v>
      </c>
      <c r="H56" s="77"/>
      <c r="I56" s="28"/>
      <c r="J56" s="34">
        <v>0</v>
      </c>
      <c r="K56" s="77"/>
      <c r="L56" s="28"/>
      <c r="M56" s="34"/>
    </row>
    <row r="57" spans="2:13" s="27" customFormat="1" ht="17" customHeight="1">
      <c r="B57" s="28" t="s">
        <v>35</v>
      </c>
      <c r="C57" s="28"/>
      <c r="D57" s="34">
        <f>1509.59/12</f>
        <v>125.79916666666666</v>
      </c>
      <c r="E57" s="35"/>
      <c r="F57" s="28"/>
      <c r="G57" s="34">
        <f>1993.94/12</f>
        <v>166.16166666666666</v>
      </c>
      <c r="H57" s="35"/>
      <c r="I57" s="28"/>
      <c r="J57" s="34">
        <f>1707/12</f>
        <v>142.25</v>
      </c>
      <c r="K57" s="35"/>
      <c r="L57" s="28"/>
      <c r="M57" s="34"/>
    </row>
    <row r="58" spans="2:13" s="27" customFormat="1" ht="17" customHeight="1">
      <c r="B58" s="28" t="s">
        <v>37</v>
      </c>
      <c r="C58" s="28"/>
      <c r="D58" s="34">
        <v>508.56</v>
      </c>
      <c r="E58" s="35"/>
      <c r="F58" s="28"/>
      <c r="G58" s="34">
        <v>500.21</v>
      </c>
      <c r="H58" s="35"/>
      <c r="I58" s="28"/>
      <c r="J58" s="34">
        <v>409.19</v>
      </c>
      <c r="K58" s="35"/>
      <c r="L58" s="28"/>
      <c r="M58" s="34"/>
    </row>
    <row r="59" spans="2:13" s="27" customFormat="1" ht="17" customHeight="1">
      <c r="B59" s="28" t="s">
        <v>38</v>
      </c>
      <c r="C59" s="28"/>
      <c r="D59" s="34">
        <v>100</v>
      </c>
      <c r="E59" s="35"/>
      <c r="F59" s="28"/>
      <c r="G59" s="34">
        <v>100</v>
      </c>
      <c r="H59" s="35"/>
      <c r="I59" s="28"/>
      <c r="J59" s="34">
        <v>100</v>
      </c>
      <c r="K59" s="35"/>
      <c r="L59" s="28"/>
      <c r="M59" s="34"/>
    </row>
    <row r="60" spans="2:13" s="27" customFormat="1" ht="17" customHeight="1">
      <c r="B60" s="28" t="s">
        <v>40</v>
      </c>
      <c r="C60" s="28"/>
      <c r="D60" s="49">
        <f>D40/D29</f>
        <v>0</v>
      </c>
      <c r="E60" s="35"/>
      <c r="F60" s="28"/>
      <c r="G60" s="49">
        <f>G40/G29</f>
        <v>0</v>
      </c>
      <c r="H60" s="35"/>
      <c r="I60" s="28"/>
      <c r="J60" s="49">
        <f>J40/J29</f>
        <v>0</v>
      </c>
      <c r="K60" s="35"/>
      <c r="L60" s="28"/>
      <c r="M60" s="49"/>
    </row>
    <row r="61" spans="2:13" s="27" customFormat="1" ht="17" customHeight="1">
      <c r="B61" s="83" t="s">
        <v>133</v>
      </c>
      <c r="C61" s="28"/>
      <c r="D61" s="89">
        <f>SUM(D53:D60)</f>
        <v>2806.0576259962991</v>
      </c>
      <c r="E61" s="58"/>
      <c r="F61" s="28"/>
      <c r="G61" s="89">
        <f>SUM(G53:G60)</f>
        <v>3239.5796304416062</v>
      </c>
      <c r="H61" s="58"/>
      <c r="I61" s="28"/>
      <c r="J61" s="89">
        <f>SUM(J53:J60)</f>
        <v>2794.8365851234375</v>
      </c>
      <c r="K61" s="58"/>
      <c r="L61" s="28"/>
      <c r="M61" s="89">
        <f>SUM(M53:M60)</f>
        <v>0</v>
      </c>
    </row>
    <row r="62" spans="2:13" s="27" customFormat="1" ht="17" customHeight="1">
      <c r="B62" s="28"/>
      <c r="C62" s="28"/>
      <c r="D62" s="58"/>
      <c r="E62" s="58"/>
      <c r="F62" s="28"/>
      <c r="G62" s="58"/>
      <c r="H62" s="58"/>
      <c r="I62" s="28"/>
      <c r="J62" s="58"/>
      <c r="K62" s="58"/>
      <c r="L62" s="28"/>
      <c r="M62" s="58"/>
    </row>
    <row r="63" spans="2:13" s="27" customFormat="1" ht="17" customHeight="1">
      <c r="B63" s="122" t="s">
        <v>128</v>
      </c>
      <c r="C63" s="123"/>
      <c r="D63" s="124"/>
      <c r="E63" s="124"/>
      <c r="F63" s="123"/>
      <c r="G63" s="124"/>
      <c r="H63" s="124"/>
      <c r="I63" s="123"/>
      <c r="J63" s="124"/>
      <c r="K63" s="124"/>
      <c r="L63" s="124"/>
      <c r="M63" s="124"/>
    </row>
    <row r="64" spans="2:13" s="27" customFormat="1" ht="17" customHeight="1">
      <c r="B64" s="85" t="s">
        <v>147</v>
      </c>
      <c r="C64" s="28"/>
      <c r="D64" s="34">
        <f>7000+(D78-100000)*0.025</f>
        <v>25977.5</v>
      </c>
      <c r="E64" s="28"/>
      <c r="F64" s="28"/>
      <c r="G64" s="34">
        <f>7000+(G78-100000)*0.025</f>
        <v>27950</v>
      </c>
      <c r="H64" s="28"/>
      <c r="I64" s="28"/>
      <c r="J64" s="34">
        <f>7000+(J78-100000)*0.025</f>
        <v>27325</v>
      </c>
      <c r="K64" s="28"/>
      <c r="L64" s="28"/>
      <c r="M64" s="34">
        <f>7000+(M78-100000)*0.025</f>
        <v>4500</v>
      </c>
    </row>
    <row r="65" spans="2:13" s="27" customFormat="1" ht="17" customHeight="1">
      <c r="B65" s="85" t="s">
        <v>125</v>
      </c>
      <c r="C65" s="28"/>
      <c r="D65" s="34">
        <v>6000</v>
      </c>
      <c r="E65" s="28"/>
      <c r="F65" s="28"/>
      <c r="G65" s="34">
        <v>6000</v>
      </c>
      <c r="H65" s="28"/>
      <c r="I65" s="28"/>
      <c r="J65" s="34">
        <v>6000</v>
      </c>
      <c r="K65" s="28"/>
      <c r="L65" s="28"/>
      <c r="M65" s="34"/>
    </row>
    <row r="66" spans="2:13" s="27" customFormat="1" ht="17" customHeight="1">
      <c r="B66" s="85" t="s">
        <v>18</v>
      </c>
      <c r="C66" s="28"/>
      <c r="D66" s="34">
        <v>1000</v>
      </c>
      <c r="E66" s="28"/>
      <c r="F66" s="28"/>
      <c r="G66" s="34">
        <v>1000</v>
      </c>
      <c r="H66" s="28"/>
      <c r="I66" s="28"/>
      <c r="J66" s="34">
        <v>1000</v>
      </c>
      <c r="K66" s="28"/>
      <c r="L66" s="28"/>
      <c r="M66" s="34"/>
    </row>
    <row r="67" spans="2:13" s="27" customFormat="1" ht="17" customHeight="1">
      <c r="B67" s="85" t="s">
        <v>132</v>
      </c>
      <c r="C67" s="28"/>
      <c r="D67" s="47">
        <v>3000</v>
      </c>
      <c r="E67" s="28"/>
      <c r="F67" s="28"/>
      <c r="G67" s="47">
        <v>3000</v>
      </c>
      <c r="H67" s="28"/>
      <c r="I67" s="28"/>
      <c r="J67" s="47">
        <v>3000</v>
      </c>
      <c r="K67" s="28"/>
      <c r="L67" s="28"/>
      <c r="M67" s="47"/>
    </row>
    <row r="68" spans="2:13" s="27" customFormat="1" ht="17" customHeight="1">
      <c r="B68" s="45" t="s">
        <v>71</v>
      </c>
      <c r="C68" s="28"/>
      <c r="D68" s="49"/>
      <c r="E68" s="35"/>
      <c r="F68" s="28"/>
      <c r="G68" s="49"/>
      <c r="H68" s="35"/>
      <c r="I68" s="28"/>
      <c r="J68" s="49"/>
      <c r="K68" s="35"/>
      <c r="L68" s="28"/>
      <c r="M68" s="49"/>
    </row>
    <row r="69" spans="2:13" s="27" customFormat="1" ht="17" customHeight="1">
      <c r="B69" s="86" t="s">
        <v>124</v>
      </c>
      <c r="C69" s="28"/>
      <c r="D69" s="52">
        <f>SUM(D64:D68)</f>
        <v>35977.5</v>
      </c>
      <c r="E69" s="87"/>
      <c r="F69" s="88"/>
      <c r="G69" s="52">
        <f>SUM(G64:G68)</f>
        <v>37950</v>
      </c>
      <c r="H69" s="87"/>
      <c r="I69" s="88"/>
      <c r="J69" s="52">
        <f>SUM(J64:J68)</f>
        <v>37325</v>
      </c>
      <c r="K69" s="87"/>
      <c r="L69" s="88"/>
      <c r="M69" s="52">
        <f>SUM(M64:M68)</f>
        <v>4500</v>
      </c>
    </row>
    <row r="70" spans="2:13" s="27" customFormat="1" ht="17" customHeight="1">
      <c r="B70" s="28"/>
      <c r="C70" s="28"/>
      <c r="D70" s="28"/>
      <c r="E70" s="48"/>
      <c r="F70" s="28"/>
      <c r="G70" s="28"/>
      <c r="H70" s="48"/>
      <c r="I70" s="28"/>
      <c r="J70" s="28"/>
      <c r="K70" s="48"/>
      <c r="L70" s="28"/>
      <c r="M70" s="28"/>
    </row>
    <row r="71" spans="2:13" s="27" customFormat="1" ht="17" customHeight="1">
      <c r="B71" s="107" t="s">
        <v>121</v>
      </c>
      <c r="C71" s="107"/>
      <c r="D71" s="108"/>
      <c r="E71" s="108"/>
      <c r="F71" s="107"/>
      <c r="G71" s="108"/>
      <c r="H71" s="108"/>
      <c r="I71" s="107"/>
      <c r="J71" s="108"/>
      <c r="K71" s="108"/>
      <c r="L71" s="107"/>
      <c r="M71" s="108"/>
    </row>
    <row r="72" spans="2:13" s="27" customFormat="1" ht="17" customHeight="1">
      <c r="B72" s="37" t="s">
        <v>135</v>
      </c>
      <c r="C72" s="37"/>
      <c r="D72" s="38">
        <f>D41</f>
        <v>560400</v>
      </c>
      <c r="E72" s="38"/>
      <c r="F72" s="37"/>
      <c r="G72" s="38">
        <f>G41</f>
        <v>674640</v>
      </c>
      <c r="H72" s="38"/>
      <c r="I72" s="37"/>
      <c r="J72" s="38">
        <f>J41</f>
        <v>580800</v>
      </c>
      <c r="K72" s="38"/>
      <c r="L72" s="37"/>
      <c r="M72" s="38">
        <f>M41</f>
        <v>-2000</v>
      </c>
    </row>
    <row r="73" spans="2:13" s="27" customFormat="1" ht="17" customHeight="1">
      <c r="B73" s="37" t="s">
        <v>134</v>
      </c>
      <c r="C73" s="37"/>
      <c r="D73" s="38">
        <f>D50</f>
        <v>64860</v>
      </c>
      <c r="E73" s="38"/>
      <c r="F73" s="37"/>
      <c r="G73" s="38">
        <f>G50</f>
        <v>63600</v>
      </c>
      <c r="H73" s="38"/>
      <c r="I73" s="37"/>
      <c r="J73" s="38">
        <f>J50</f>
        <v>54300</v>
      </c>
      <c r="K73" s="38"/>
      <c r="L73" s="37"/>
      <c r="M73" s="38">
        <f>M50</f>
        <v>0</v>
      </c>
    </row>
    <row r="74" spans="2:13" s="27" customFormat="1" ht="17" customHeight="1">
      <c r="B74" s="37" t="s">
        <v>137</v>
      </c>
      <c r="C74" s="104">
        <v>7</v>
      </c>
      <c r="D74" s="38">
        <f>C74*D61</f>
        <v>19642.403381974094</v>
      </c>
      <c r="E74" s="43"/>
      <c r="F74" s="104">
        <v>6</v>
      </c>
      <c r="G74" s="38">
        <f>F74*G61</f>
        <v>19437.477782649636</v>
      </c>
      <c r="H74" s="43"/>
      <c r="I74" s="104">
        <v>7</v>
      </c>
      <c r="J74" s="38">
        <f>I74*J61</f>
        <v>19563.856095864063</v>
      </c>
      <c r="K74" s="43"/>
      <c r="L74" s="105"/>
      <c r="M74" s="38">
        <f>L74*M61</f>
        <v>0</v>
      </c>
    </row>
    <row r="75" spans="2:13" s="27" customFormat="1" ht="17" customHeight="1">
      <c r="B75" s="37" t="s">
        <v>124</v>
      </c>
      <c r="C75" s="37"/>
      <c r="D75" s="106">
        <f>D69</f>
        <v>35977.5</v>
      </c>
      <c r="E75" s="43"/>
      <c r="F75" s="40"/>
      <c r="G75" s="106">
        <f>G69</f>
        <v>37950</v>
      </c>
      <c r="H75" s="43"/>
      <c r="I75" s="40"/>
      <c r="J75" s="106">
        <f>J69</f>
        <v>37325</v>
      </c>
      <c r="K75" s="43"/>
      <c r="L75" s="40"/>
      <c r="M75" s="106">
        <f>M69</f>
        <v>4500</v>
      </c>
    </row>
    <row r="76" spans="2:13" s="27" customFormat="1" ht="17" customHeight="1">
      <c r="B76" s="42" t="s">
        <v>118</v>
      </c>
      <c r="C76" s="37"/>
      <c r="D76" s="97">
        <f>SUM(D72:D75)</f>
        <v>680879.90338197409</v>
      </c>
      <c r="E76" s="38"/>
      <c r="F76" s="37"/>
      <c r="G76" s="97">
        <f>SUM(G72:G75)</f>
        <v>795627.47778264969</v>
      </c>
      <c r="H76" s="38"/>
      <c r="I76" s="37"/>
      <c r="J76" s="97">
        <f>SUM(J72:J75)</f>
        <v>691988.85609586409</v>
      </c>
      <c r="K76" s="38"/>
      <c r="L76" s="37"/>
      <c r="M76" s="97">
        <f>SUM(M72:M75)</f>
        <v>2500</v>
      </c>
    </row>
    <row r="77" spans="2:13" s="27" customFormat="1" ht="17" customHeight="1">
      <c r="B77" s="37"/>
      <c r="C77" s="37"/>
      <c r="D77" s="38"/>
      <c r="E77" s="38"/>
      <c r="F77" s="37"/>
      <c r="G77" s="38"/>
      <c r="H77" s="38"/>
      <c r="I77" s="37"/>
      <c r="J77" s="38"/>
      <c r="K77" s="38"/>
      <c r="L77" s="37"/>
      <c r="M77" s="38"/>
    </row>
    <row r="78" spans="2:13" s="27" customFormat="1" ht="17" customHeight="1">
      <c r="B78" s="37" t="s">
        <v>136</v>
      </c>
      <c r="C78" s="37"/>
      <c r="D78" s="43">
        <f>D20</f>
        <v>859100</v>
      </c>
      <c r="E78" s="37"/>
      <c r="F78" s="37"/>
      <c r="G78" s="38">
        <f>G20</f>
        <v>938000</v>
      </c>
      <c r="H78" s="38"/>
      <c r="I78" s="37"/>
      <c r="J78" s="38">
        <f>J20</f>
        <v>913000</v>
      </c>
      <c r="K78" s="38"/>
      <c r="L78" s="37"/>
      <c r="M78" s="38"/>
    </row>
    <row r="79" spans="2:13" s="27" customFormat="1" ht="17" customHeight="1">
      <c r="B79" s="37" t="s">
        <v>126</v>
      </c>
      <c r="C79" s="37"/>
      <c r="D79" s="106">
        <v>0</v>
      </c>
      <c r="E79" s="37"/>
      <c r="F79" s="37"/>
      <c r="G79" s="106">
        <v>0</v>
      </c>
      <c r="H79" s="38"/>
      <c r="I79" s="37"/>
      <c r="J79" s="106">
        <v>0</v>
      </c>
      <c r="K79" s="38"/>
      <c r="L79" s="37"/>
      <c r="M79" s="106"/>
    </row>
    <row r="80" spans="2:13" s="27" customFormat="1" ht="17" customHeight="1">
      <c r="B80" s="103" t="s">
        <v>120</v>
      </c>
      <c r="C80" s="37"/>
      <c r="D80" s="97">
        <f>SUM(D78:D79)</f>
        <v>859100</v>
      </c>
      <c r="E80" s="98"/>
      <c r="F80" s="37"/>
      <c r="G80" s="97">
        <f>SUM(G78:G79)</f>
        <v>938000</v>
      </c>
      <c r="H80" s="38"/>
      <c r="I80" s="37"/>
      <c r="J80" s="97">
        <f>SUM(J78:J79)</f>
        <v>913000</v>
      </c>
      <c r="K80" s="38"/>
      <c r="L80" s="37"/>
      <c r="M80" s="97">
        <f>SUM(M78:M79)</f>
        <v>0</v>
      </c>
    </row>
    <row r="81" spans="2:13" s="27" customFormat="1" ht="17" customHeight="1">
      <c r="B81" s="42"/>
      <c r="C81" s="37"/>
      <c r="D81" s="99"/>
      <c r="E81" s="100"/>
      <c r="F81" s="37"/>
      <c r="G81" s="99"/>
      <c r="H81" s="99"/>
      <c r="I81" s="37"/>
      <c r="J81" s="99"/>
      <c r="K81" s="99"/>
      <c r="L81" s="37"/>
      <c r="M81" s="99"/>
    </row>
    <row r="82" spans="2:13" s="27" customFormat="1" ht="17" customHeight="1">
      <c r="B82" s="109" t="s">
        <v>127</v>
      </c>
      <c r="C82" s="110"/>
      <c r="D82" s="111">
        <f>D80-D76</f>
        <v>178220.09661802591</v>
      </c>
      <c r="E82" s="112"/>
      <c r="F82" s="110"/>
      <c r="G82" s="111">
        <f>G80-G76</f>
        <v>142372.52221735031</v>
      </c>
      <c r="H82" s="112"/>
      <c r="I82" s="110"/>
      <c r="J82" s="111">
        <f>J80-J76</f>
        <v>221011.14390413591</v>
      </c>
      <c r="K82" s="112"/>
      <c r="L82" s="110"/>
      <c r="M82" s="111">
        <f>M80-M76</f>
        <v>-2500</v>
      </c>
    </row>
    <row r="83" spans="2:13" s="27" customFormat="1" ht="17" customHeight="1">
      <c r="D83" s="72"/>
    </row>
    <row r="84" spans="2:13" ht="25" customHeight="1">
      <c r="B84" s="10"/>
      <c r="C84" s="10"/>
      <c r="D84" s="10"/>
      <c r="E84" s="134" t="s">
        <v>131</v>
      </c>
      <c r="F84" s="134"/>
      <c r="G84" s="134"/>
      <c r="H84" s="134"/>
      <c r="I84" s="134"/>
      <c r="J84" s="134"/>
      <c r="K84" s="134"/>
      <c r="L84" s="134"/>
      <c r="M84" s="134"/>
    </row>
    <row r="86" spans="2:13">
      <c r="B86" t="s">
        <v>155</v>
      </c>
    </row>
    <row r="88" spans="2:13">
      <c r="B88" t="s">
        <v>151</v>
      </c>
      <c r="C88" s="120">
        <f>0.25*0.8</f>
        <v>0.2</v>
      </c>
      <c r="D88" s="114">
        <f>D19*C88</f>
        <v>110000</v>
      </c>
      <c r="F88" s="119">
        <f>0.13*0.8</f>
        <v>0.10400000000000001</v>
      </c>
      <c r="G88" s="115">
        <f>F88*G19</f>
        <v>68848</v>
      </c>
      <c r="I88">
        <f>0.22*80%</f>
        <v>0.17600000000000002</v>
      </c>
      <c r="J88" s="113">
        <f>I88*J19</f>
        <v>100320.00000000001</v>
      </c>
      <c r="M88" s="4"/>
    </row>
    <row r="89" spans="2:13">
      <c r="M89" s="4"/>
    </row>
    <row r="90" spans="2:13">
      <c r="B90" s="117" t="s">
        <v>152</v>
      </c>
      <c r="C90" s="117"/>
      <c r="D90" s="118">
        <f>D82-D88</f>
        <v>68220.096618025913</v>
      </c>
      <c r="E90" s="117"/>
      <c r="F90" s="117"/>
      <c r="G90" s="118">
        <f>G82-G88</f>
        <v>73524.522217350313</v>
      </c>
      <c r="H90" s="117"/>
      <c r="I90" s="117"/>
      <c r="J90" s="118">
        <f>J82-J88</f>
        <v>120691.1439041359</v>
      </c>
    </row>
  </sheetData>
  <mergeCells count="1">
    <mergeCell ref="E84:M84"/>
  </mergeCells>
  <printOptions horizontalCentered="1"/>
  <pageMargins left="0.75000000000000011" right="0.75000000000000011" top="1" bottom="1" header="0.5" footer="0.5"/>
  <pageSetup scale="68" fitToHeight="2"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Q44"/>
  <sheetViews>
    <sheetView showGridLines="0" tabSelected="1" topLeftCell="A25" workbookViewId="0">
      <selection activeCell="D29" sqref="D29"/>
    </sheetView>
  </sheetViews>
  <sheetFormatPr baseColWidth="10" defaultRowHeight="15" x14ac:dyDescent="0"/>
  <cols>
    <col min="1" max="1" width="5.83203125" customWidth="1"/>
    <col min="2" max="2" width="41.1640625" customWidth="1"/>
    <col min="3" max="3" width="4.83203125" customWidth="1"/>
    <col min="4" max="4" width="20.33203125" customWidth="1"/>
    <col min="5" max="6" width="4.83203125" customWidth="1"/>
    <col min="7" max="7" width="20.33203125" customWidth="1"/>
    <col min="8" max="9" width="4.83203125" customWidth="1"/>
    <col min="10" max="10" width="20.33203125" customWidth="1"/>
    <col min="11" max="12" width="4.83203125" customWidth="1"/>
    <col min="13" max="13" width="20.33203125" customWidth="1"/>
    <col min="14" max="14" width="7" customWidth="1"/>
    <col min="15" max="15" width="28" customWidth="1"/>
  </cols>
  <sheetData>
    <row r="2" spans="2:13" ht="25" customHeight="1">
      <c r="B2" s="61" t="s">
        <v>64</v>
      </c>
      <c r="C2" s="1"/>
      <c r="D2" s="2"/>
      <c r="E2" s="2"/>
      <c r="F2" s="2"/>
      <c r="G2" s="2"/>
      <c r="H2" s="3"/>
      <c r="I2" s="3"/>
      <c r="J2" s="3"/>
      <c r="K2" s="3"/>
      <c r="L2" s="2"/>
      <c r="M2" s="2"/>
    </row>
    <row r="3" spans="2:13" s="4" customFormat="1" ht="14" customHeight="1">
      <c r="B3" s="12"/>
      <c r="C3" s="13"/>
      <c r="D3" s="14"/>
      <c r="E3" s="14"/>
      <c r="F3" s="14"/>
      <c r="G3" s="14"/>
      <c r="H3" s="15"/>
      <c r="I3" s="15"/>
      <c r="J3" s="15"/>
      <c r="K3" s="15"/>
      <c r="L3" s="14"/>
      <c r="M3" s="14"/>
    </row>
    <row r="4" spans="2:13" ht="25">
      <c r="B4" s="64" t="s">
        <v>65</v>
      </c>
      <c r="C4" s="4"/>
      <c r="D4" s="4"/>
      <c r="E4" s="4"/>
      <c r="F4" s="4"/>
      <c r="G4" s="4"/>
      <c r="H4" s="5"/>
      <c r="I4" s="5"/>
      <c r="J4" s="5"/>
      <c r="K4" s="5"/>
      <c r="L4" s="4"/>
      <c r="M4" s="4"/>
    </row>
    <row r="5" spans="2:13">
      <c r="B5" s="26" t="s">
        <v>76</v>
      </c>
      <c r="C5" s="65"/>
      <c r="D5" s="65"/>
      <c r="E5" s="28"/>
      <c r="F5" s="27"/>
      <c r="G5" s="27"/>
      <c r="H5" s="28"/>
      <c r="I5" s="28"/>
      <c r="J5" s="28"/>
      <c r="K5" s="27"/>
      <c r="L5" s="28"/>
      <c r="M5" s="28"/>
    </row>
    <row r="6" spans="2:13">
      <c r="B6" s="26" t="s">
        <v>75</v>
      </c>
      <c r="C6" s="27"/>
      <c r="D6" s="28"/>
      <c r="E6" s="28"/>
      <c r="F6" s="27"/>
      <c r="G6" s="27"/>
      <c r="H6" s="28"/>
      <c r="I6" s="28"/>
      <c r="J6" s="28"/>
      <c r="K6" s="27"/>
      <c r="L6" s="28"/>
      <c r="M6" s="28"/>
    </row>
    <row r="7" spans="2:13">
      <c r="B7" s="26" t="s">
        <v>59</v>
      </c>
      <c r="C7" s="27"/>
      <c r="D7" s="28"/>
      <c r="E7" s="28"/>
      <c r="F7" s="27"/>
      <c r="G7" s="27"/>
      <c r="H7" s="28"/>
      <c r="I7" s="28"/>
      <c r="J7" s="28"/>
      <c r="K7" s="27"/>
      <c r="L7" s="28"/>
      <c r="M7" s="28"/>
    </row>
    <row r="8" spans="2:13">
      <c r="B8" s="27"/>
      <c r="C8" s="27"/>
      <c r="D8" s="65"/>
      <c r="E8" s="28"/>
      <c r="F8" s="27"/>
      <c r="G8" s="66"/>
      <c r="H8" s="28"/>
      <c r="I8" s="28"/>
      <c r="J8" s="28"/>
      <c r="K8" s="66"/>
      <c r="L8" s="28"/>
      <c r="M8" s="28"/>
    </row>
    <row r="9" spans="2:13">
      <c r="B9" s="28" t="s">
        <v>92</v>
      </c>
      <c r="C9" s="27"/>
      <c r="D9" s="27"/>
      <c r="E9" s="28"/>
      <c r="F9" s="27"/>
      <c r="G9" s="66"/>
      <c r="H9" s="28"/>
      <c r="I9" s="28"/>
      <c r="J9" s="28"/>
      <c r="K9" s="66"/>
      <c r="L9" s="28"/>
      <c r="M9" s="28"/>
    </row>
    <row r="10" spans="2:13">
      <c r="B10" s="66"/>
      <c r="C10" s="65"/>
      <c r="D10" s="27"/>
      <c r="E10" s="28"/>
      <c r="F10" s="67"/>
      <c r="G10" s="65"/>
      <c r="H10" s="28"/>
      <c r="I10" s="28"/>
      <c r="J10" s="28"/>
      <c r="K10" s="67"/>
      <c r="L10" s="28"/>
      <c r="M10" s="28"/>
    </row>
    <row r="11" spans="2:13">
      <c r="B11" s="28"/>
      <c r="C11" s="28"/>
      <c r="D11" s="28"/>
      <c r="E11" s="28"/>
      <c r="F11" s="28"/>
      <c r="G11" s="28"/>
      <c r="H11" s="28"/>
      <c r="I11" s="28"/>
      <c r="J11" s="28"/>
      <c r="K11" s="28"/>
      <c r="L11" s="28"/>
      <c r="M11" s="28"/>
    </row>
    <row r="12" spans="2:13" ht="25" customHeight="1">
      <c r="B12" s="61" t="s">
        <v>1</v>
      </c>
      <c r="C12" s="62"/>
      <c r="D12" s="59"/>
      <c r="E12" s="59"/>
      <c r="F12" s="59"/>
      <c r="G12" s="59"/>
      <c r="H12" s="59"/>
      <c r="I12" s="59"/>
      <c r="J12" s="59"/>
      <c r="K12" s="59"/>
      <c r="L12" s="59"/>
      <c r="M12" s="63" t="s">
        <v>72</v>
      </c>
    </row>
    <row r="13" spans="2:13">
      <c r="B13" s="28"/>
      <c r="C13" s="28"/>
      <c r="D13" s="68"/>
      <c r="E13" s="68"/>
      <c r="F13" s="68"/>
      <c r="G13" s="68"/>
      <c r="H13" s="68"/>
      <c r="I13" s="68"/>
      <c r="J13" s="68"/>
      <c r="K13" s="68"/>
      <c r="L13" s="68"/>
      <c r="M13" s="68"/>
    </row>
    <row r="14" spans="2:13" ht="17" customHeight="1">
      <c r="B14" s="28" t="s">
        <v>73</v>
      </c>
      <c r="C14" s="28"/>
      <c r="D14" s="29" t="s">
        <v>86</v>
      </c>
      <c r="E14" s="30"/>
      <c r="F14" s="28"/>
      <c r="G14" s="29" t="s">
        <v>86</v>
      </c>
      <c r="H14" s="30"/>
      <c r="I14" s="28"/>
      <c r="J14" s="29"/>
      <c r="K14" s="30"/>
      <c r="L14" s="30"/>
      <c r="M14" s="29" t="s">
        <v>82</v>
      </c>
    </row>
    <row r="15" spans="2:13" ht="83" customHeight="1">
      <c r="B15" s="33" t="s">
        <v>87</v>
      </c>
      <c r="C15" s="28"/>
      <c r="D15" s="60" t="s">
        <v>91</v>
      </c>
      <c r="E15" s="73"/>
      <c r="F15" s="74"/>
      <c r="G15" s="60" t="s">
        <v>90</v>
      </c>
      <c r="H15" s="73"/>
      <c r="I15" s="74"/>
      <c r="J15" s="60"/>
      <c r="K15" s="73"/>
      <c r="L15" s="73"/>
      <c r="M15" s="60"/>
    </row>
    <row r="16" spans="2:13" ht="17" customHeight="1">
      <c r="B16" s="28" t="s">
        <v>4</v>
      </c>
      <c r="C16" s="28"/>
      <c r="D16" s="34">
        <v>898000</v>
      </c>
      <c r="E16" s="35"/>
      <c r="F16" s="28"/>
      <c r="G16" s="34">
        <v>898000</v>
      </c>
      <c r="H16" s="35"/>
      <c r="I16" s="28"/>
      <c r="J16" s="34"/>
      <c r="K16" s="35"/>
      <c r="L16" s="35"/>
      <c r="M16" s="34">
        <v>1080000</v>
      </c>
    </row>
    <row r="17" spans="2:17" ht="17" customHeight="1">
      <c r="B17" s="28"/>
      <c r="C17" s="28"/>
      <c r="D17" s="36"/>
      <c r="E17" s="28"/>
      <c r="F17" s="28"/>
      <c r="G17" s="36"/>
      <c r="H17" s="28"/>
      <c r="I17" s="28"/>
      <c r="J17" s="36"/>
      <c r="K17" s="28"/>
      <c r="L17" s="28"/>
      <c r="M17" s="36"/>
    </row>
    <row r="18" spans="2:17" ht="17" customHeight="1">
      <c r="B18" s="122" t="s">
        <v>62</v>
      </c>
      <c r="C18" s="123"/>
      <c r="D18" s="124"/>
      <c r="E18" s="124"/>
      <c r="F18" s="123"/>
      <c r="G18" s="124"/>
      <c r="H18" s="124"/>
      <c r="I18" s="123"/>
      <c r="J18" s="124"/>
      <c r="K18" s="124"/>
      <c r="L18" s="124"/>
      <c r="M18" s="124"/>
    </row>
    <row r="19" spans="2:17" ht="17" customHeight="1">
      <c r="B19" s="28" t="s">
        <v>102</v>
      </c>
      <c r="C19" s="28"/>
      <c r="D19" s="34">
        <f>D16*0.05</f>
        <v>44900</v>
      </c>
      <c r="E19" s="35"/>
      <c r="F19" s="28"/>
      <c r="G19" s="34">
        <f>G16*0.05</f>
        <v>44900</v>
      </c>
      <c r="H19" s="35"/>
      <c r="I19" s="28"/>
      <c r="J19" s="34"/>
      <c r="K19" s="35"/>
      <c r="L19" s="35"/>
      <c r="M19" s="34">
        <f>0.05*M16</f>
        <v>54000</v>
      </c>
    </row>
    <row r="20" spans="2:17" ht="17" customHeight="1">
      <c r="B20" s="46" t="s">
        <v>103</v>
      </c>
      <c r="C20" s="28"/>
      <c r="D20" s="34">
        <v>450</v>
      </c>
      <c r="E20" s="35"/>
      <c r="F20" s="28"/>
      <c r="G20" s="34">
        <v>450</v>
      </c>
      <c r="H20" s="35"/>
      <c r="I20" s="28"/>
      <c r="J20" s="34"/>
      <c r="K20" s="35"/>
      <c r="L20" s="35"/>
      <c r="M20" s="34">
        <v>550</v>
      </c>
    </row>
    <row r="21" spans="2:17" ht="17" customHeight="1">
      <c r="B21" s="48" t="s">
        <v>104</v>
      </c>
      <c r="C21" s="48"/>
      <c r="D21" s="34">
        <v>300</v>
      </c>
      <c r="E21" s="50"/>
      <c r="F21" s="48"/>
      <c r="G21" s="34">
        <v>300</v>
      </c>
      <c r="H21" s="50"/>
      <c r="I21" s="48"/>
      <c r="J21" s="34"/>
      <c r="K21" s="50"/>
      <c r="L21" s="50"/>
      <c r="M21" s="34">
        <v>250</v>
      </c>
    </row>
    <row r="22" spans="2:17" ht="17" customHeight="1">
      <c r="B22" s="48" t="s">
        <v>71</v>
      </c>
      <c r="C22" s="48"/>
      <c r="D22" s="34"/>
      <c r="E22" s="50"/>
      <c r="F22" s="48"/>
      <c r="G22" s="34"/>
      <c r="H22" s="50"/>
      <c r="I22" s="48"/>
      <c r="J22" s="34"/>
      <c r="K22" s="50"/>
      <c r="L22" s="50"/>
      <c r="M22" s="34">
        <v>0</v>
      </c>
    </row>
    <row r="23" spans="2:17" ht="17" customHeight="1">
      <c r="B23" s="48" t="s">
        <v>71</v>
      </c>
      <c r="C23" s="48"/>
      <c r="D23" s="49"/>
      <c r="E23" s="50"/>
      <c r="F23" s="48"/>
      <c r="G23" s="49"/>
      <c r="H23" s="50"/>
      <c r="I23" s="48"/>
      <c r="J23" s="49"/>
      <c r="K23" s="50"/>
      <c r="L23" s="50"/>
      <c r="M23" s="49">
        <v>0</v>
      </c>
    </row>
    <row r="24" spans="2:17" ht="17" customHeight="1">
      <c r="B24" s="51" t="s">
        <v>66</v>
      </c>
      <c r="C24" s="48"/>
      <c r="D24" s="52">
        <f>SUM(D19:D23)</f>
        <v>45650</v>
      </c>
      <c r="E24" s="50"/>
      <c r="F24" s="48"/>
      <c r="G24" s="52">
        <f>SUM(G19:G23)</f>
        <v>45650</v>
      </c>
      <c r="H24" s="50"/>
      <c r="I24" s="48"/>
      <c r="J24" s="52">
        <f>SUM(J19:J23)</f>
        <v>0</v>
      </c>
      <c r="K24" s="50"/>
      <c r="L24" s="50"/>
      <c r="M24" s="52">
        <f>SUM(M19:M23)</f>
        <v>54800</v>
      </c>
      <c r="O24" s="25"/>
    </row>
    <row r="25" spans="2:17" ht="17" customHeight="1">
      <c r="B25" s="48"/>
      <c r="C25" s="48"/>
      <c r="D25" s="50"/>
      <c r="E25" s="53"/>
      <c r="F25" s="48"/>
      <c r="G25" s="50"/>
      <c r="H25" s="53"/>
      <c r="I25" s="48"/>
      <c r="J25" s="50"/>
      <c r="K25" s="53"/>
      <c r="L25" s="53"/>
      <c r="M25" s="50"/>
      <c r="O25" s="25"/>
      <c r="P25" s="19"/>
      <c r="Q25" s="19"/>
    </row>
    <row r="26" spans="2:17" ht="17" customHeight="1">
      <c r="B26" s="122" t="s">
        <v>63</v>
      </c>
      <c r="C26" s="123"/>
      <c r="D26" s="124"/>
      <c r="E26" s="124"/>
      <c r="F26" s="123"/>
      <c r="G26" s="124"/>
      <c r="H26" s="124"/>
      <c r="I26" s="123"/>
      <c r="J26" s="124"/>
      <c r="K26" s="124"/>
      <c r="L26" s="124"/>
      <c r="M26" s="124"/>
      <c r="O26" s="25"/>
      <c r="P26" s="19"/>
      <c r="Q26" s="19"/>
    </row>
    <row r="27" spans="2:17" ht="17" customHeight="1">
      <c r="B27" s="28" t="s">
        <v>105</v>
      </c>
      <c r="C27" s="28"/>
      <c r="D27" s="34">
        <f>'Ongoing costs'!D19-'Purchase costs'!D19</f>
        <v>493900</v>
      </c>
      <c r="E27" s="35"/>
      <c r="F27" s="28"/>
      <c r="G27" s="34">
        <f>'Ongoing costs'!G19-'Purchase costs'!G19</f>
        <v>134700</v>
      </c>
      <c r="H27" s="35"/>
      <c r="I27" s="28"/>
      <c r="J27" s="34"/>
      <c r="K27" s="35"/>
      <c r="L27" s="35"/>
      <c r="M27" s="34">
        <f>0.2*M16-M19</f>
        <v>162000</v>
      </c>
      <c r="O27" s="20"/>
      <c r="P27" s="135"/>
      <c r="Q27" s="19"/>
    </row>
    <row r="28" spans="2:17" ht="17" customHeight="1">
      <c r="B28" s="46" t="s">
        <v>106</v>
      </c>
      <c r="C28" s="28"/>
      <c r="D28" s="34">
        <f>1%*200000+2%*(D16-200000)</f>
        <v>15960</v>
      </c>
      <c r="E28" s="35"/>
      <c r="F28" s="28"/>
      <c r="G28" s="34">
        <f>1%*200000+2%*(G16-200000)</f>
        <v>15960</v>
      </c>
      <c r="H28" s="35"/>
      <c r="I28" s="28"/>
      <c r="J28" s="34">
        <f>1%*200000+2%*(J16-200000)</f>
        <v>-2000</v>
      </c>
      <c r="K28" s="35"/>
      <c r="L28" s="35"/>
      <c r="M28" s="34">
        <f>1%*200000+2%*(M16-200000)</f>
        <v>19600</v>
      </c>
      <c r="O28" s="24"/>
      <c r="P28" s="135"/>
      <c r="Q28" s="19"/>
    </row>
    <row r="29" spans="2:17" ht="17" customHeight="1">
      <c r="B29" s="46" t="s">
        <v>165</v>
      </c>
      <c r="C29" s="28"/>
      <c r="D29" s="34"/>
      <c r="E29" s="35"/>
      <c r="F29" s="28"/>
      <c r="G29" s="34"/>
      <c r="H29" s="35"/>
      <c r="I29" s="28"/>
      <c r="J29" s="34"/>
      <c r="K29" s="35"/>
      <c r="L29" s="35"/>
      <c r="M29" s="34"/>
      <c r="O29" s="24"/>
      <c r="P29" s="133"/>
      <c r="Q29" s="19"/>
    </row>
    <row r="30" spans="2:17" ht="17" customHeight="1">
      <c r="B30" s="48" t="s">
        <v>107</v>
      </c>
      <c r="C30" s="48"/>
      <c r="D30" s="34">
        <v>0</v>
      </c>
      <c r="E30" s="50"/>
      <c r="F30" s="48"/>
      <c r="G30" s="34">
        <v>0</v>
      </c>
      <c r="H30" s="50"/>
      <c r="I30" s="48"/>
      <c r="J30" s="34"/>
      <c r="K30" s="50"/>
      <c r="L30" s="50"/>
      <c r="M30" s="34">
        <v>0</v>
      </c>
      <c r="O30" s="20"/>
      <c r="P30" s="22"/>
      <c r="Q30" s="19"/>
    </row>
    <row r="31" spans="2:17" ht="17" customHeight="1">
      <c r="B31" s="48" t="s">
        <v>108</v>
      </c>
      <c r="C31" s="48"/>
      <c r="D31" s="34">
        <v>1000</v>
      </c>
      <c r="E31" s="48"/>
      <c r="F31" s="48"/>
      <c r="G31" s="34">
        <v>1000</v>
      </c>
      <c r="H31" s="48"/>
      <c r="I31" s="48"/>
      <c r="J31" s="34"/>
      <c r="K31" s="48"/>
      <c r="L31" s="48"/>
      <c r="M31" s="34">
        <v>1100</v>
      </c>
      <c r="O31" s="17"/>
      <c r="P31" s="16"/>
    </row>
    <row r="32" spans="2:17" ht="17" customHeight="1">
      <c r="B32" s="48" t="s">
        <v>109</v>
      </c>
      <c r="C32" s="48"/>
      <c r="D32" s="34">
        <v>0</v>
      </c>
      <c r="E32" s="69"/>
      <c r="F32" s="48"/>
      <c r="G32" s="34">
        <v>0</v>
      </c>
      <c r="H32" s="69"/>
      <c r="I32" s="48"/>
      <c r="J32" s="34"/>
      <c r="K32" s="69"/>
      <c r="L32" s="69"/>
      <c r="M32" s="34">
        <v>0</v>
      </c>
      <c r="O32" s="18"/>
      <c r="P32" s="16"/>
    </row>
    <row r="33" spans="2:16" ht="17" customHeight="1">
      <c r="B33" s="48" t="s">
        <v>110</v>
      </c>
      <c r="C33" s="48"/>
      <c r="D33" s="34">
        <v>0</v>
      </c>
      <c r="E33" s="69"/>
      <c r="F33" s="48"/>
      <c r="G33" s="34">
        <v>0</v>
      </c>
      <c r="H33" s="69"/>
      <c r="I33" s="48"/>
      <c r="J33" s="34"/>
      <c r="K33" s="69"/>
      <c r="L33" s="69"/>
      <c r="M33" s="34">
        <v>0</v>
      </c>
      <c r="O33" s="20"/>
      <c r="P33" s="22"/>
    </row>
    <row r="34" spans="2:16" ht="17" customHeight="1">
      <c r="B34" s="54" t="s">
        <v>111</v>
      </c>
      <c r="C34" s="70"/>
      <c r="D34" s="34"/>
      <c r="E34" s="54"/>
      <c r="F34" s="70"/>
      <c r="G34" s="34"/>
      <c r="H34" s="54"/>
      <c r="I34" s="70"/>
      <c r="J34" s="34"/>
      <c r="K34" s="54"/>
      <c r="L34" s="54"/>
      <c r="M34" s="34">
        <v>450</v>
      </c>
      <c r="O34" s="20"/>
      <c r="P34" s="22"/>
    </row>
    <row r="35" spans="2:16" ht="17" customHeight="1">
      <c r="B35" s="71" t="s">
        <v>112</v>
      </c>
      <c r="C35" s="48"/>
      <c r="D35" s="34">
        <v>600</v>
      </c>
      <c r="E35" s="48"/>
      <c r="F35" s="48"/>
      <c r="G35" s="34">
        <v>600</v>
      </c>
      <c r="H35" s="48"/>
      <c r="I35" s="48"/>
      <c r="J35" s="34"/>
      <c r="K35" s="48"/>
      <c r="L35" s="48"/>
      <c r="M35" s="34">
        <v>1000</v>
      </c>
      <c r="O35" s="21"/>
      <c r="P35" s="22"/>
    </row>
    <row r="36" spans="2:16" ht="17" customHeight="1">
      <c r="B36" s="71" t="s">
        <v>113</v>
      </c>
      <c r="C36" s="48"/>
      <c r="D36" s="34">
        <v>0</v>
      </c>
      <c r="E36" s="48"/>
      <c r="F36" s="48"/>
      <c r="G36" s="34">
        <v>0</v>
      </c>
      <c r="H36" s="48"/>
      <c r="I36" s="48"/>
      <c r="J36" s="34"/>
      <c r="K36" s="48"/>
      <c r="L36" s="48"/>
      <c r="M36" s="34">
        <v>350</v>
      </c>
      <c r="O36" s="20"/>
      <c r="P36" s="23"/>
    </row>
    <row r="37" spans="2:16" ht="17" customHeight="1">
      <c r="B37" s="71" t="s">
        <v>116</v>
      </c>
      <c r="C37" s="48"/>
      <c r="D37" s="34"/>
      <c r="E37" s="48"/>
      <c r="F37" s="48"/>
      <c r="G37" s="34"/>
      <c r="H37" s="48"/>
      <c r="I37" s="48"/>
      <c r="J37" s="34"/>
      <c r="K37" s="48"/>
      <c r="L37" s="48"/>
      <c r="M37" s="34">
        <v>0</v>
      </c>
      <c r="O37" s="20"/>
      <c r="P37" s="23"/>
    </row>
    <row r="38" spans="2:16" ht="17" customHeight="1">
      <c r="B38" s="71" t="s">
        <v>71</v>
      </c>
      <c r="C38" s="48"/>
      <c r="D38" s="49"/>
      <c r="E38" s="48"/>
      <c r="F38" s="48"/>
      <c r="G38" s="49"/>
      <c r="H38" s="48"/>
      <c r="I38" s="48"/>
      <c r="J38" s="49"/>
      <c r="K38" s="48"/>
      <c r="L38" s="48"/>
      <c r="M38" s="49">
        <v>0</v>
      </c>
      <c r="O38" s="20"/>
      <c r="P38" s="22"/>
    </row>
    <row r="39" spans="2:16" ht="17" customHeight="1">
      <c r="B39" s="51" t="s">
        <v>67</v>
      </c>
      <c r="C39" s="48"/>
      <c r="D39" s="52">
        <f>SUM(D27:D38)</f>
        <v>511460</v>
      </c>
      <c r="E39" s="48"/>
      <c r="F39" s="48"/>
      <c r="G39" s="52">
        <f>SUM(G27:G38)</f>
        <v>152260</v>
      </c>
      <c r="H39" s="48"/>
      <c r="I39" s="48"/>
      <c r="J39" s="52">
        <f>SUM(J27:J38)</f>
        <v>-2000</v>
      </c>
      <c r="K39" s="48"/>
      <c r="L39" s="48"/>
      <c r="M39" s="52">
        <f>SUM(M27:M38)</f>
        <v>184500</v>
      </c>
      <c r="O39" s="21"/>
      <c r="P39" s="22"/>
    </row>
    <row r="40" spans="2:16" ht="17" customHeight="1">
      <c r="B40" s="54"/>
      <c r="C40" s="48"/>
      <c r="D40" s="55"/>
      <c r="E40" s="48"/>
      <c r="F40" s="48"/>
      <c r="G40" s="55"/>
      <c r="H40" s="48"/>
      <c r="I40" s="48"/>
      <c r="J40" s="55"/>
      <c r="K40" s="48"/>
      <c r="L40" s="48"/>
      <c r="M40" s="55"/>
      <c r="O40" s="20"/>
      <c r="P40" s="136"/>
    </row>
    <row r="41" spans="2:16" ht="17" customHeight="1">
      <c r="B41" s="56" t="s">
        <v>148</v>
      </c>
      <c r="C41" s="48"/>
      <c r="D41" s="57">
        <f>D24+D39</f>
        <v>557110</v>
      </c>
      <c r="E41" s="58"/>
      <c r="F41" s="48"/>
      <c r="G41" s="57">
        <f>G24+G39</f>
        <v>197910</v>
      </c>
      <c r="H41" s="58"/>
      <c r="I41" s="48"/>
      <c r="J41" s="57">
        <f>J24+J39</f>
        <v>-2000</v>
      </c>
      <c r="K41" s="58"/>
      <c r="L41" s="48"/>
      <c r="M41" s="57">
        <f>M24+M39</f>
        <v>239300</v>
      </c>
      <c r="O41" s="21"/>
      <c r="P41" s="136"/>
    </row>
    <row r="42" spans="2:16" ht="17" customHeight="1">
      <c r="B42" s="56" t="s">
        <v>83</v>
      </c>
      <c r="C42" s="48"/>
      <c r="D42" s="57">
        <f>D16-D19-D27</f>
        <v>359200</v>
      </c>
      <c r="E42" s="58"/>
      <c r="F42" s="48"/>
      <c r="G42" s="57">
        <f>G16-G19-G27</f>
        <v>718400</v>
      </c>
      <c r="H42" s="58"/>
      <c r="I42" s="48"/>
      <c r="J42" s="57">
        <f>J16-J19-J27</f>
        <v>0</v>
      </c>
      <c r="K42" s="58"/>
      <c r="L42" s="48"/>
      <c r="M42" s="57">
        <f>M16-M19-M27</f>
        <v>864000</v>
      </c>
      <c r="O42" s="20"/>
      <c r="P42" s="22"/>
    </row>
    <row r="43" spans="2:16" ht="17" customHeight="1">
      <c r="B43" s="27"/>
      <c r="C43" s="27"/>
      <c r="D43" s="72"/>
      <c r="E43" s="27"/>
      <c r="F43" s="27"/>
      <c r="G43" s="27"/>
      <c r="H43" s="27"/>
      <c r="I43" s="27"/>
      <c r="J43" s="27"/>
      <c r="K43" s="27"/>
      <c r="L43" s="27"/>
      <c r="M43" s="27"/>
    </row>
    <row r="44" spans="2:16" ht="25" customHeight="1">
      <c r="B44" s="10"/>
      <c r="C44" s="10"/>
      <c r="D44" s="10"/>
      <c r="E44" s="134" t="s">
        <v>78</v>
      </c>
      <c r="F44" s="134"/>
      <c r="G44" s="134"/>
      <c r="H44" s="134"/>
      <c r="I44" s="134"/>
      <c r="J44" s="134"/>
      <c r="K44" s="134"/>
      <c r="L44" s="134"/>
      <c r="M44" s="134"/>
    </row>
  </sheetData>
  <mergeCells count="3">
    <mergeCell ref="P27:P28"/>
    <mergeCell ref="P40:P41"/>
    <mergeCell ref="E44:M44"/>
  </mergeCells>
  <phoneticPr fontId="13" type="noConversion"/>
  <printOptions horizontalCentered="1"/>
  <pageMargins left="0.75000000000000011" right="0.75000000000000011" top="1" bottom="1" header="0.5" footer="0.5"/>
  <pageSetup scale="70"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Q55"/>
  <sheetViews>
    <sheetView showGridLines="0" topLeftCell="A11" workbookViewId="0">
      <selection activeCell="B15" sqref="B15"/>
    </sheetView>
  </sheetViews>
  <sheetFormatPr baseColWidth="10" defaultRowHeight="15" x14ac:dyDescent="0"/>
  <cols>
    <col min="1" max="1" width="5.83203125" customWidth="1"/>
    <col min="2" max="2" width="41.1640625" customWidth="1"/>
    <col min="3" max="3" width="4.83203125" customWidth="1"/>
    <col min="4" max="4" width="20.33203125" customWidth="1"/>
    <col min="5" max="6" width="4.83203125" customWidth="1"/>
    <col min="7" max="7" width="20.33203125" customWidth="1"/>
    <col min="8" max="9" width="4.83203125" customWidth="1"/>
    <col min="10" max="10" width="20.33203125" customWidth="1"/>
    <col min="11" max="12" width="4.83203125" customWidth="1"/>
    <col min="13" max="13" width="20.33203125" customWidth="1"/>
    <col min="14" max="14" width="7" customWidth="1"/>
    <col min="15" max="15" width="28" customWidth="1"/>
  </cols>
  <sheetData>
    <row r="2" spans="2:13" ht="25" customHeight="1">
      <c r="B2" s="61" t="s">
        <v>64</v>
      </c>
      <c r="C2" s="1"/>
      <c r="D2" s="2"/>
      <c r="E2" s="2"/>
      <c r="F2" s="2"/>
      <c r="G2" s="2"/>
      <c r="H2" s="3"/>
      <c r="I2" s="3"/>
      <c r="J2" s="3"/>
      <c r="K2" s="3"/>
      <c r="L2" s="2"/>
      <c r="M2" s="2"/>
    </row>
    <row r="3" spans="2:13" s="4" customFormat="1" ht="14" customHeight="1">
      <c r="B3" s="12"/>
      <c r="C3" s="13"/>
      <c r="D3" s="14"/>
      <c r="E3" s="14"/>
      <c r="F3" s="14"/>
      <c r="G3" s="14"/>
      <c r="H3" s="15"/>
      <c r="I3" s="15"/>
      <c r="J3" s="15"/>
      <c r="K3" s="15"/>
      <c r="L3" s="14"/>
      <c r="M3" s="14"/>
    </row>
    <row r="4" spans="2:13" ht="25">
      <c r="B4" s="64" t="s">
        <v>68</v>
      </c>
      <c r="C4" s="4"/>
      <c r="D4" s="4"/>
      <c r="E4" s="4"/>
      <c r="F4" s="4"/>
      <c r="G4" s="4"/>
      <c r="H4" s="5"/>
      <c r="I4" s="5"/>
      <c r="J4" s="5"/>
      <c r="K4" s="5"/>
      <c r="L4" s="4"/>
      <c r="M4" s="4"/>
    </row>
    <row r="5" spans="2:13" ht="16">
      <c r="B5" s="26" t="s">
        <v>77</v>
      </c>
      <c r="C5" s="6"/>
      <c r="D5" s="6"/>
      <c r="E5" s="4"/>
      <c r="H5" s="5"/>
      <c r="I5" s="4"/>
      <c r="J5" s="5"/>
      <c r="L5" s="4"/>
      <c r="M5" s="4"/>
    </row>
    <row r="6" spans="2:13" ht="16">
      <c r="B6" s="26" t="s">
        <v>75</v>
      </c>
      <c r="D6" s="4"/>
      <c r="E6" s="4"/>
      <c r="H6" s="5"/>
      <c r="I6" s="4"/>
      <c r="J6" s="5"/>
      <c r="L6" s="4"/>
      <c r="M6" s="4"/>
    </row>
    <row r="7" spans="2:13" ht="16">
      <c r="B7" s="26" t="s">
        <v>59</v>
      </c>
      <c r="D7" s="4"/>
      <c r="E7" s="4"/>
      <c r="H7" s="5"/>
      <c r="I7" s="4"/>
      <c r="J7" s="5"/>
      <c r="L7" s="4"/>
      <c r="M7" s="4"/>
    </row>
    <row r="8" spans="2:13" ht="16">
      <c r="B8" s="27"/>
      <c r="D8" s="6"/>
      <c r="E8" s="4"/>
      <c r="G8" s="7"/>
      <c r="H8" s="4"/>
      <c r="I8" s="5"/>
      <c r="J8" s="5"/>
      <c r="K8" s="7"/>
      <c r="L8" s="4"/>
      <c r="M8" s="4"/>
    </row>
    <row r="9" spans="2:13" ht="16">
      <c r="B9" s="28" t="s">
        <v>92</v>
      </c>
      <c r="E9" s="4"/>
      <c r="G9" s="7"/>
      <c r="H9" s="4"/>
      <c r="I9" s="5"/>
      <c r="J9" s="5"/>
      <c r="K9" s="7"/>
      <c r="L9" s="4"/>
      <c r="M9" s="4"/>
    </row>
    <row r="10" spans="2:13" ht="16">
      <c r="B10" s="7"/>
      <c r="C10" s="6"/>
      <c r="E10" s="4"/>
      <c r="F10" s="8"/>
      <c r="G10" s="6"/>
      <c r="H10" s="4"/>
      <c r="I10" s="5"/>
      <c r="J10" s="5"/>
      <c r="K10" s="8"/>
      <c r="L10" s="4"/>
      <c r="M10" s="4"/>
    </row>
    <row r="11" spans="2:13" ht="16">
      <c r="B11" s="4"/>
      <c r="C11" s="4"/>
      <c r="D11" s="4"/>
      <c r="E11" s="4"/>
      <c r="F11" s="4"/>
      <c r="G11" s="4"/>
      <c r="H11" s="4"/>
      <c r="I11" s="4"/>
      <c r="J11" s="5"/>
      <c r="K11" s="5"/>
      <c r="L11" s="5"/>
      <c r="M11" s="5"/>
    </row>
    <row r="12" spans="2:13" ht="25" customHeight="1">
      <c r="B12" s="61" t="s">
        <v>1</v>
      </c>
      <c r="C12" s="62"/>
      <c r="D12" s="59"/>
      <c r="E12" s="59"/>
      <c r="F12" s="59"/>
      <c r="G12" s="59"/>
      <c r="H12" s="59"/>
      <c r="I12" s="59"/>
      <c r="J12" s="59"/>
      <c r="K12" s="59"/>
      <c r="L12" s="59"/>
      <c r="M12" s="63" t="s">
        <v>72</v>
      </c>
    </row>
    <row r="13" spans="2:13">
      <c r="B13" s="4"/>
      <c r="C13" s="4"/>
      <c r="D13" s="11"/>
      <c r="E13" s="11"/>
      <c r="F13" s="11"/>
      <c r="G13" s="11"/>
      <c r="H13" s="11"/>
      <c r="I13" s="11"/>
      <c r="J13" s="11"/>
      <c r="K13" s="11"/>
      <c r="L13" s="11"/>
      <c r="M13" s="11"/>
    </row>
    <row r="14" spans="2:13" ht="17" customHeight="1">
      <c r="B14" s="28" t="s">
        <v>73</v>
      </c>
      <c r="C14" s="28"/>
      <c r="D14" s="29" t="s">
        <v>86</v>
      </c>
      <c r="E14" s="30"/>
      <c r="F14" s="28"/>
      <c r="G14" s="29" t="s">
        <v>86</v>
      </c>
      <c r="H14" s="30"/>
      <c r="I14" s="28"/>
      <c r="J14" s="29"/>
      <c r="K14" s="30"/>
      <c r="L14" s="30"/>
      <c r="M14" s="29"/>
    </row>
    <row r="15" spans="2:13" ht="85" customHeight="1">
      <c r="B15" s="33" t="s">
        <v>87</v>
      </c>
      <c r="C15" s="28"/>
      <c r="D15" s="60" t="s">
        <v>88</v>
      </c>
      <c r="E15" s="32"/>
      <c r="F15" s="33"/>
      <c r="G15" s="60" t="s">
        <v>89</v>
      </c>
      <c r="H15" s="32"/>
      <c r="I15" s="33"/>
      <c r="J15" s="31"/>
      <c r="K15" s="32"/>
      <c r="L15" s="32"/>
      <c r="M15" s="31"/>
    </row>
    <row r="16" spans="2:13" ht="17" customHeight="1">
      <c r="B16" s="28" t="s">
        <v>4</v>
      </c>
      <c r="C16" s="28"/>
      <c r="D16" s="34">
        <v>898000</v>
      </c>
      <c r="E16" s="35"/>
      <c r="F16" s="28"/>
      <c r="G16" s="34">
        <v>898000</v>
      </c>
      <c r="H16" s="35"/>
      <c r="I16" s="28"/>
      <c r="J16" s="34"/>
      <c r="K16" s="35"/>
      <c r="L16" s="35"/>
      <c r="M16" s="34"/>
    </row>
    <row r="17" spans="2:13" ht="17" customHeight="1">
      <c r="B17" s="28"/>
      <c r="C17" s="28"/>
      <c r="D17" s="36"/>
      <c r="E17" s="28"/>
      <c r="F17" s="28"/>
      <c r="G17" s="36"/>
      <c r="H17" s="28"/>
      <c r="I17" s="28"/>
      <c r="J17" s="36"/>
      <c r="K17" s="28"/>
      <c r="L17" s="28"/>
      <c r="M17" s="36"/>
    </row>
    <row r="18" spans="2:13" ht="17" customHeight="1">
      <c r="B18" s="122" t="s">
        <v>115</v>
      </c>
      <c r="C18" s="123"/>
      <c r="D18" s="124"/>
      <c r="E18" s="124"/>
      <c r="F18" s="123"/>
      <c r="G18" s="124"/>
      <c r="H18" s="124"/>
      <c r="I18" s="123"/>
      <c r="J18" s="124"/>
      <c r="K18" s="124"/>
      <c r="L18" s="124"/>
      <c r="M18" s="124"/>
    </row>
    <row r="19" spans="2:13" ht="17" customHeight="1">
      <c r="B19" s="28" t="s">
        <v>6</v>
      </c>
      <c r="C19" s="28"/>
      <c r="D19" s="34">
        <f>D16*0.6</f>
        <v>538800</v>
      </c>
      <c r="E19" s="35"/>
      <c r="F19" s="28"/>
      <c r="G19" s="34">
        <f>0.2*G16</f>
        <v>179600</v>
      </c>
      <c r="H19" s="35"/>
      <c r="I19" s="28"/>
      <c r="J19" s="34"/>
      <c r="K19" s="35"/>
      <c r="L19" s="35"/>
      <c r="M19" s="34"/>
    </row>
    <row r="20" spans="2:13" ht="17" customHeight="1">
      <c r="B20" s="28" t="s">
        <v>7</v>
      </c>
      <c r="C20" s="28"/>
      <c r="D20" s="35">
        <f>D16-D19</f>
        <v>359200</v>
      </c>
      <c r="E20" s="35"/>
      <c r="F20" s="28"/>
      <c r="G20" s="35">
        <f>G16-G19</f>
        <v>718400</v>
      </c>
      <c r="H20" s="35"/>
      <c r="I20" s="28"/>
      <c r="J20" s="35">
        <f>J16-J19</f>
        <v>0</v>
      </c>
      <c r="K20" s="35"/>
      <c r="L20" s="35"/>
      <c r="M20" s="35">
        <f>M16-M19</f>
        <v>0</v>
      </c>
    </row>
    <row r="21" spans="2:13" ht="17" customHeight="1">
      <c r="B21" s="28" t="s">
        <v>8</v>
      </c>
      <c r="C21" s="28"/>
      <c r="D21" s="39">
        <v>2.5899999999999999E-2</v>
      </c>
      <c r="E21" s="78"/>
      <c r="F21" s="28"/>
      <c r="G21" s="39">
        <v>2.5899999999999999E-2</v>
      </c>
      <c r="H21" s="78"/>
      <c r="I21" s="28"/>
      <c r="J21" s="39"/>
      <c r="K21" s="78"/>
      <c r="L21" s="78"/>
      <c r="M21" s="39"/>
    </row>
    <row r="22" spans="2:13" ht="17" customHeight="1">
      <c r="B22" s="48" t="s">
        <v>9</v>
      </c>
      <c r="C22" s="48"/>
      <c r="D22" s="79">
        <f>D21/D24</f>
        <v>2.1583333333333333E-3</v>
      </c>
      <c r="E22" s="53"/>
      <c r="F22" s="48"/>
      <c r="G22" s="79">
        <f>G21/G24</f>
        <v>2.1583333333333333E-3</v>
      </c>
      <c r="H22" s="53"/>
      <c r="I22" s="48"/>
      <c r="J22" s="79">
        <f>J21/J24</f>
        <v>0</v>
      </c>
      <c r="K22" s="53"/>
      <c r="L22" s="53"/>
      <c r="M22" s="79">
        <f>M21/M24</f>
        <v>0</v>
      </c>
    </row>
    <row r="23" spans="2:13" ht="17" customHeight="1">
      <c r="B23" s="28" t="s">
        <v>10</v>
      </c>
      <c r="C23" s="28"/>
      <c r="D23" s="41">
        <v>5</v>
      </c>
      <c r="E23" s="80"/>
      <c r="F23" s="28"/>
      <c r="G23" s="41">
        <v>5</v>
      </c>
      <c r="H23" s="80"/>
      <c r="I23" s="28"/>
      <c r="J23" s="41"/>
      <c r="K23" s="80"/>
      <c r="L23" s="80"/>
      <c r="M23" s="41"/>
    </row>
    <row r="24" spans="2:13" ht="17" customHeight="1">
      <c r="B24" s="28" t="s">
        <v>11</v>
      </c>
      <c r="C24" s="28"/>
      <c r="D24" s="81">
        <v>12</v>
      </c>
      <c r="E24" s="28"/>
      <c r="F24" s="28"/>
      <c r="G24" s="81">
        <v>12</v>
      </c>
      <c r="H24" s="28"/>
      <c r="I24" s="28"/>
      <c r="J24" s="81">
        <v>12</v>
      </c>
      <c r="K24" s="28"/>
      <c r="L24" s="28"/>
      <c r="M24" s="81">
        <v>12</v>
      </c>
    </row>
    <row r="25" spans="2:13" ht="17" customHeight="1">
      <c r="B25" s="48" t="s">
        <v>12</v>
      </c>
      <c r="C25" s="48"/>
      <c r="D25" s="82">
        <f>D23*D24</f>
        <v>60</v>
      </c>
      <c r="E25" s="48"/>
      <c r="F25" s="48"/>
      <c r="G25" s="82">
        <f>G23*G24</f>
        <v>60</v>
      </c>
      <c r="H25" s="48"/>
      <c r="I25" s="48"/>
      <c r="J25" s="82">
        <f>J23*J24</f>
        <v>0</v>
      </c>
      <c r="K25" s="48"/>
      <c r="L25" s="48"/>
      <c r="M25" s="82">
        <f>M23*M24</f>
        <v>0</v>
      </c>
    </row>
    <row r="26" spans="2:13" ht="17" customHeight="1">
      <c r="B26" s="28" t="s">
        <v>13</v>
      </c>
      <c r="C26" s="28"/>
      <c r="D26" s="41">
        <v>25</v>
      </c>
      <c r="E26" s="28"/>
      <c r="F26" s="28"/>
      <c r="G26" s="41">
        <v>25</v>
      </c>
      <c r="H26" s="28"/>
      <c r="I26" s="28"/>
      <c r="J26" s="41"/>
      <c r="K26" s="28"/>
      <c r="L26" s="28"/>
      <c r="M26" s="41"/>
    </row>
    <row r="27" spans="2:13" ht="17" customHeight="1">
      <c r="B27" s="48" t="s">
        <v>14</v>
      </c>
      <c r="C27" s="48"/>
      <c r="D27" s="121">
        <f>D24*D26</f>
        <v>300</v>
      </c>
      <c r="E27" s="48"/>
      <c r="F27" s="48"/>
      <c r="G27" s="121">
        <f>G24*G26</f>
        <v>300</v>
      </c>
      <c r="H27" s="48"/>
      <c r="I27" s="48"/>
      <c r="J27" s="121">
        <f>J24*J26</f>
        <v>0</v>
      </c>
      <c r="K27" s="48"/>
      <c r="L27" s="48"/>
      <c r="M27" s="121">
        <f>M24*M26</f>
        <v>0</v>
      </c>
    </row>
    <row r="28" spans="2:13" ht="17" customHeight="1">
      <c r="B28" s="83" t="s">
        <v>15</v>
      </c>
      <c r="C28" s="28"/>
      <c r="D28" s="95">
        <f>-PMT(D22,D27,D20)</f>
        <v>1627.7605430288277</v>
      </c>
      <c r="E28" s="36"/>
      <c r="F28" s="28"/>
      <c r="G28" s="95">
        <f>-PMT(G22,G27,G20)</f>
        <v>3255.5210860576553</v>
      </c>
      <c r="H28" s="36"/>
      <c r="I28" s="28"/>
      <c r="J28" s="95" t="e">
        <f>-PMT(J22,J27,J20)</f>
        <v>#NUM!</v>
      </c>
      <c r="K28" s="36"/>
      <c r="L28" s="36"/>
      <c r="M28" s="95" t="e">
        <f>-PMT(M22,M27,M20)</f>
        <v>#NUM!</v>
      </c>
    </row>
    <row r="29" spans="2:13" ht="17" customHeight="1">
      <c r="B29" s="28"/>
      <c r="C29" s="28"/>
      <c r="D29" s="36"/>
      <c r="E29" s="28"/>
      <c r="F29" s="28"/>
      <c r="G29" s="36"/>
      <c r="H29" s="28"/>
      <c r="I29" s="28"/>
      <c r="J29" s="36"/>
      <c r="K29" s="28"/>
      <c r="L29" s="28"/>
      <c r="M29" s="36"/>
    </row>
    <row r="30" spans="2:13" ht="17" customHeight="1">
      <c r="B30" s="122" t="s">
        <v>69</v>
      </c>
      <c r="C30" s="123"/>
      <c r="D30" s="124"/>
      <c r="E30" s="124"/>
      <c r="F30" s="123"/>
      <c r="G30" s="124"/>
      <c r="H30" s="124"/>
      <c r="I30" s="123"/>
      <c r="J30" s="124"/>
      <c r="K30" s="124"/>
      <c r="L30" s="124"/>
      <c r="M30" s="124"/>
    </row>
    <row r="31" spans="2:13" ht="17" customHeight="1">
      <c r="B31" s="28" t="s">
        <v>93</v>
      </c>
      <c r="C31" s="28"/>
      <c r="D31" s="34">
        <f>D28</f>
        <v>1627.7605430288277</v>
      </c>
      <c r="E31" s="35"/>
      <c r="F31" s="28"/>
      <c r="G31" s="34">
        <f>G28</f>
        <v>3255.5210860576553</v>
      </c>
      <c r="H31" s="35"/>
      <c r="I31" s="28"/>
      <c r="J31" s="34"/>
      <c r="K31" s="35"/>
      <c r="L31" s="35"/>
      <c r="M31" s="34"/>
    </row>
    <row r="32" spans="2:13" ht="17" customHeight="1">
      <c r="B32" s="46" t="s">
        <v>94</v>
      </c>
      <c r="C32" s="28"/>
      <c r="D32" s="34">
        <v>388</v>
      </c>
      <c r="E32" s="35"/>
      <c r="F32" s="28"/>
      <c r="G32" s="34">
        <v>388</v>
      </c>
      <c r="H32" s="35"/>
      <c r="I32" s="28"/>
      <c r="J32" s="34"/>
      <c r="K32" s="35"/>
      <c r="L32" s="35"/>
      <c r="M32" s="34"/>
    </row>
    <row r="33" spans="2:17" ht="17" customHeight="1">
      <c r="B33" s="46" t="s">
        <v>95</v>
      </c>
      <c r="C33" s="28"/>
      <c r="D33" s="34">
        <v>100</v>
      </c>
      <c r="E33" s="35"/>
      <c r="F33" s="28"/>
      <c r="G33" s="34">
        <v>100</v>
      </c>
      <c r="H33" s="35"/>
      <c r="I33" s="28"/>
      <c r="J33" s="34"/>
      <c r="K33" s="35"/>
      <c r="L33" s="35"/>
      <c r="M33" s="34"/>
    </row>
    <row r="34" spans="2:17" ht="17" customHeight="1">
      <c r="B34" s="46" t="s">
        <v>96</v>
      </c>
      <c r="C34" s="28"/>
      <c r="D34" s="34"/>
      <c r="E34" s="35"/>
      <c r="F34" s="28"/>
      <c r="G34" s="34"/>
      <c r="H34" s="35"/>
      <c r="I34" s="28"/>
      <c r="J34" s="34"/>
      <c r="K34" s="35"/>
      <c r="L34" s="35"/>
      <c r="M34" s="34"/>
    </row>
    <row r="35" spans="2:17" ht="17" customHeight="1">
      <c r="B35" s="46" t="s">
        <v>97</v>
      </c>
      <c r="C35" s="28"/>
      <c r="D35" s="34"/>
      <c r="E35" s="35"/>
      <c r="F35" s="28"/>
      <c r="G35" s="34"/>
      <c r="H35" s="35"/>
      <c r="I35" s="28"/>
      <c r="J35" s="34"/>
      <c r="K35" s="35"/>
      <c r="L35" s="35"/>
      <c r="M35" s="34"/>
    </row>
    <row r="36" spans="2:17" ht="17" customHeight="1">
      <c r="B36" s="46" t="s">
        <v>98</v>
      </c>
      <c r="C36" s="28"/>
      <c r="D36" s="34">
        <v>60</v>
      </c>
      <c r="E36" s="35"/>
      <c r="F36" s="28"/>
      <c r="G36" s="34">
        <v>60</v>
      </c>
      <c r="H36" s="35"/>
      <c r="I36" s="28"/>
      <c r="J36" s="34"/>
      <c r="K36" s="35"/>
      <c r="L36" s="35"/>
      <c r="M36" s="34"/>
    </row>
    <row r="37" spans="2:17" ht="17" customHeight="1">
      <c r="B37" s="46" t="s">
        <v>99</v>
      </c>
      <c r="C37" s="28"/>
      <c r="D37" s="34"/>
      <c r="E37" s="35"/>
      <c r="F37" s="28"/>
      <c r="G37" s="34"/>
      <c r="H37" s="35"/>
      <c r="I37" s="28"/>
      <c r="J37" s="34"/>
      <c r="K37" s="35"/>
      <c r="L37" s="35"/>
      <c r="M37" s="34"/>
    </row>
    <row r="38" spans="2:17" ht="17" customHeight="1">
      <c r="B38" s="46" t="s">
        <v>71</v>
      </c>
      <c r="C38" s="28"/>
      <c r="D38" s="47"/>
      <c r="E38" s="35"/>
      <c r="F38" s="28"/>
      <c r="G38" s="47"/>
      <c r="H38" s="35"/>
      <c r="I38" s="28"/>
      <c r="J38" s="47"/>
      <c r="K38" s="35"/>
      <c r="L38" s="35"/>
      <c r="M38" s="47"/>
    </row>
    <row r="39" spans="2:17" ht="17" customHeight="1">
      <c r="B39" s="46" t="s">
        <v>71</v>
      </c>
      <c r="C39" s="28"/>
      <c r="D39" s="47"/>
      <c r="E39" s="35"/>
      <c r="F39" s="28"/>
      <c r="G39" s="47"/>
      <c r="H39" s="35"/>
      <c r="I39" s="28"/>
      <c r="J39" s="47"/>
      <c r="K39" s="35"/>
      <c r="L39" s="35"/>
      <c r="M39" s="47"/>
    </row>
    <row r="40" spans="2:17" ht="17" customHeight="1">
      <c r="B40" s="48" t="s">
        <v>71</v>
      </c>
      <c r="C40" s="48"/>
      <c r="D40" s="49"/>
      <c r="E40" s="50"/>
      <c r="F40" s="48"/>
      <c r="G40" s="49"/>
      <c r="H40" s="50"/>
      <c r="I40" s="48"/>
      <c r="J40" s="49"/>
      <c r="K40" s="50"/>
      <c r="L40" s="50"/>
      <c r="M40" s="49"/>
    </row>
    <row r="41" spans="2:17" ht="17" customHeight="1">
      <c r="B41" s="51" t="s">
        <v>61</v>
      </c>
      <c r="C41" s="48"/>
      <c r="D41" s="52">
        <f>SUM(D31:D40)</f>
        <v>2175.7605430288277</v>
      </c>
      <c r="E41" s="50"/>
      <c r="F41" s="48"/>
      <c r="G41" s="52">
        <f>SUM(G31:G40)</f>
        <v>3803.5210860576553</v>
      </c>
      <c r="H41" s="50"/>
      <c r="I41" s="48"/>
      <c r="J41" s="52">
        <f>SUM(J31:J40)</f>
        <v>0</v>
      </c>
      <c r="K41" s="50"/>
      <c r="L41" s="50"/>
      <c r="M41" s="52">
        <f>SUM(M31:M40)</f>
        <v>0</v>
      </c>
    </row>
    <row r="42" spans="2:17" ht="17" customHeight="1">
      <c r="B42" s="48"/>
      <c r="C42" s="48"/>
      <c r="D42" s="50"/>
      <c r="E42" s="53"/>
      <c r="F42" s="48"/>
      <c r="G42" s="50"/>
      <c r="H42" s="53"/>
      <c r="I42" s="48"/>
      <c r="J42" s="50"/>
      <c r="K42" s="53"/>
      <c r="L42" s="53"/>
      <c r="M42" s="50"/>
      <c r="O42" s="19"/>
      <c r="P42" s="19"/>
      <c r="Q42" s="19"/>
    </row>
    <row r="43" spans="2:17" ht="17" customHeight="1">
      <c r="B43" s="122" t="s">
        <v>70</v>
      </c>
      <c r="C43" s="123"/>
      <c r="D43" s="124"/>
      <c r="E43" s="124"/>
      <c r="F43" s="123"/>
      <c r="G43" s="124"/>
      <c r="H43" s="124"/>
      <c r="I43" s="123"/>
      <c r="J43" s="124"/>
      <c r="K43" s="124"/>
      <c r="L43" s="124"/>
      <c r="M43" s="124"/>
      <c r="O43" s="19"/>
      <c r="P43" s="19"/>
      <c r="Q43" s="19"/>
    </row>
    <row r="44" spans="2:17" ht="17" customHeight="1">
      <c r="B44" s="28" t="s">
        <v>79</v>
      </c>
      <c r="C44" s="28"/>
      <c r="D44" s="34">
        <v>2988</v>
      </c>
      <c r="E44" s="35"/>
      <c r="F44" s="28"/>
      <c r="G44" s="34">
        <v>2988</v>
      </c>
      <c r="H44" s="35"/>
      <c r="I44" s="28"/>
      <c r="J44" s="34"/>
      <c r="K44" s="35"/>
      <c r="L44" s="35"/>
      <c r="M44" s="34"/>
      <c r="O44" s="20"/>
      <c r="P44" s="135"/>
      <c r="Q44" s="19"/>
    </row>
    <row r="45" spans="2:17" ht="17" customHeight="1">
      <c r="B45" s="46" t="s">
        <v>100</v>
      </c>
      <c r="C45" s="28"/>
      <c r="D45" s="34">
        <v>600</v>
      </c>
      <c r="E45" s="35"/>
      <c r="F45" s="28"/>
      <c r="G45" s="34">
        <v>600</v>
      </c>
      <c r="H45" s="35"/>
      <c r="I45" s="28"/>
      <c r="J45" s="34"/>
      <c r="K45" s="35"/>
      <c r="L45" s="35"/>
      <c r="M45" s="34"/>
      <c r="O45" s="21"/>
      <c r="P45" s="135"/>
      <c r="Q45" s="19"/>
    </row>
    <row r="46" spans="2:17" ht="17" customHeight="1">
      <c r="B46" s="48" t="s">
        <v>101</v>
      </c>
      <c r="C46" s="28"/>
      <c r="D46" s="47"/>
      <c r="E46" s="35"/>
      <c r="F46" s="28"/>
      <c r="G46" s="47"/>
      <c r="H46" s="35"/>
      <c r="I46" s="28"/>
      <c r="J46" s="47"/>
      <c r="K46" s="35"/>
      <c r="L46" s="35"/>
      <c r="M46" s="47"/>
      <c r="O46" s="21"/>
      <c r="P46" s="22"/>
      <c r="Q46" s="19"/>
    </row>
    <row r="47" spans="2:17" ht="17" customHeight="1">
      <c r="B47" s="46" t="s">
        <v>71</v>
      </c>
      <c r="C47" s="28"/>
      <c r="D47" s="47"/>
      <c r="E47" s="35"/>
      <c r="F47" s="28"/>
      <c r="G47" s="47"/>
      <c r="H47" s="35"/>
      <c r="I47" s="28"/>
      <c r="J47" s="47"/>
      <c r="K47" s="35"/>
      <c r="L47" s="35"/>
      <c r="M47" s="47"/>
      <c r="O47" s="21"/>
      <c r="P47" s="22"/>
      <c r="Q47" s="19"/>
    </row>
    <row r="48" spans="2:17" ht="17" customHeight="1">
      <c r="B48" s="46" t="s">
        <v>71</v>
      </c>
      <c r="C48" s="28"/>
      <c r="D48" s="47"/>
      <c r="E48" s="35"/>
      <c r="F48" s="28"/>
      <c r="G48" s="47"/>
      <c r="H48" s="35"/>
      <c r="I48" s="28"/>
      <c r="J48" s="47"/>
      <c r="K48" s="35"/>
      <c r="L48" s="35"/>
      <c r="M48" s="47"/>
      <c r="O48" s="21"/>
      <c r="P48" s="22"/>
      <c r="Q48" s="19"/>
    </row>
    <row r="49" spans="2:17" ht="17" customHeight="1">
      <c r="B49" s="46" t="s">
        <v>71</v>
      </c>
      <c r="C49" s="48"/>
      <c r="D49" s="49"/>
      <c r="E49" s="50"/>
      <c r="F49" s="48"/>
      <c r="G49" s="49"/>
      <c r="H49" s="50"/>
      <c r="I49" s="48"/>
      <c r="J49" s="49"/>
      <c r="K49" s="50"/>
      <c r="L49" s="50"/>
      <c r="M49" s="49"/>
      <c r="O49" s="20"/>
      <c r="P49" s="22"/>
      <c r="Q49" s="19"/>
    </row>
    <row r="50" spans="2:17" ht="17" customHeight="1">
      <c r="B50" s="51" t="s">
        <v>61</v>
      </c>
      <c r="C50" s="48"/>
      <c r="D50" s="52">
        <f>SUM(D44:D49)</f>
        <v>3588</v>
      </c>
      <c r="E50" s="48"/>
      <c r="F50" s="48"/>
      <c r="G50" s="52">
        <f>SUM(G44:G49)</f>
        <v>3588</v>
      </c>
      <c r="H50" s="48"/>
      <c r="I50" s="48"/>
      <c r="J50" s="52">
        <f>SUM(J44:J49)</f>
        <v>0</v>
      </c>
      <c r="K50" s="48"/>
      <c r="L50" s="48"/>
      <c r="M50" s="52">
        <f>SUM(M44:M49)</f>
        <v>0</v>
      </c>
      <c r="O50" s="21"/>
      <c r="P50" s="22"/>
    </row>
    <row r="51" spans="2:17" ht="17" customHeight="1">
      <c r="B51" s="54"/>
      <c r="C51" s="48"/>
      <c r="D51" s="55"/>
      <c r="E51" s="48"/>
      <c r="F51" s="48"/>
      <c r="G51" s="55"/>
      <c r="H51" s="48"/>
      <c r="I51" s="48"/>
      <c r="J51" s="55"/>
      <c r="K51" s="48"/>
      <c r="L51" s="48"/>
      <c r="M51" s="55"/>
      <c r="O51" s="20"/>
      <c r="P51" s="136"/>
    </row>
    <row r="52" spans="2:17" ht="17" customHeight="1">
      <c r="B52" s="56" t="s">
        <v>84</v>
      </c>
      <c r="C52" s="48"/>
      <c r="D52" s="52">
        <f>D41+D50/12</f>
        <v>2474.7605430288277</v>
      </c>
      <c r="E52" s="58"/>
      <c r="F52" s="48"/>
      <c r="G52" s="57">
        <f>G41+G50/12</f>
        <v>4102.5210860576553</v>
      </c>
      <c r="H52" s="58"/>
      <c r="I52" s="48"/>
      <c r="J52" s="57">
        <f>J41+J50/12</f>
        <v>0</v>
      </c>
      <c r="K52" s="58"/>
      <c r="L52" s="48"/>
      <c r="M52" s="57">
        <f>M41+M50/12</f>
        <v>0</v>
      </c>
      <c r="O52" s="21"/>
      <c r="P52" s="136"/>
    </row>
    <row r="53" spans="2:17" ht="17" customHeight="1">
      <c r="B53" s="56" t="s">
        <v>85</v>
      </c>
      <c r="C53" s="48"/>
      <c r="D53" s="57">
        <f>D41*12+D50</f>
        <v>29697.126516345932</v>
      </c>
      <c r="E53" s="58"/>
      <c r="F53" s="48"/>
      <c r="G53" s="57">
        <f>G41*12+G50</f>
        <v>49230.253032691864</v>
      </c>
      <c r="H53" s="58"/>
      <c r="I53" s="48"/>
      <c r="J53" s="57">
        <f>J41*12+J50</f>
        <v>0</v>
      </c>
      <c r="K53" s="58"/>
      <c r="L53" s="48"/>
      <c r="M53" s="57">
        <f>M41*12+M50</f>
        <v>0</v>
      </c>
      <c r="O53" s="20"/>
      <c r="P53" s="22"/>
    </row>
    <row r="54" spans="2:17">
      <c r="B54" s="27"/>
      <c r="C54" s="27"/>
      <c r="D54" s="27"/>
      <c r="E54" s="27"/>
      <c r="F54" s="27"/>
      <c r="G54" s="27"/>
      <c r="H54" s="27"/>
      <c r="I54" s="27"/>
      <c r="J54" s="27"/>
      <c r="K54" s="27"/>
      <c r="L54" s="27"/>
      <c r="M54" s="27"/>
    </row>
    <row r="55" spans="2:17" ht="25" customHeight="1">
      <c r="B55" s="59"/>
      <c r="C55" s="59"/>
      <c r="D55" s="59"/>
      <c r="E55" s="134" t="s">
        <v>78</v>
      </c>
      <c r="F55" s="134"/>
      <c r="G55" s="134"/>
      <c r="H55" s="134"/>
      <c r="I55" s="134"/>
      <c r="J55" s="134"/>
      <c r="K55" s="134"/>
      <c r="L55" s="134"/>
      <c r="M55" s="134"/>
    </row>
  </sheetData>
  <mergeCells count="3">
    <mergeCell ref="P44:P45"/>
    <mergeCell ref="P51:P52"/>
    <mergeCell ref="E55:M55"/>
  </mergeCells>
  <phoneticPr fontId="13" type="noConversion"/>
  <printOptions horizontalCentered="1"/>
  <pageMargins left="0.75000000000000011" right="0.75000000000000011" top="1" bottom="1" header="0.5" footer="0.5"/>
  <pageSetup scale="72"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Q32"/>
  <sheetViews>
    <sheetView showGridLines="0" topLeftCell="A10" workbookViewId="0">
      <selection activeCell="M16" sqref="M16"/>
    </sheetView>
  </sheetViews>
  <sheetFormatPr baseColWidth="10" defaultRowHeight="15" x14ac:dyDescent="0"/>
  <cols>
    <col min="1" max="1" width="5.83203125" customWidth="1"/>
    <col min="2" max="2" width="41.1640625" customWidth="1"/>
    <col min="3" max="3" width="4.83203125" customWidth="1"/>
    <col min="4" max="4" width="20.33203125" customWidth="1"/>
    <col min="5" max="6" width="4.83203125" customWidth="1"/>
    <col min="7" max="7" width="20.33203125" customWidth="1"/>
    <col min="8" max="9" width="4.83203125" customWidth="1"/>
    <col min="10" max="10" width="20.33203125" customWidth="1"/>
    <col min="11" max="12" width="4.83203125" customWidth="1"/>
    <col min="13" max="13" width="20.33203125" customWidth="1"/>
    <col min="14" max="14" width="7" customWidth="1"/>
    <col min="15" max="15" width="28" customWidth="1"/>
  </cols>
  <sheetData>
    <row r="2" spans="2:13" ht="25" customHeight="1">
      <c r="B2" s="61" t="s">
        <v>64</v>
      </c>
      <c r="C2" s="1"/>
      <c r="D2" s="2"/>
      <c r="E2" s="2"/>
      <c r="F2" s="2"/>
      <c r="G2" s="2"/>
      <c r="H2" s="3"/>
      <c r="I2" s="3"/>
      <c r="J2" s="3"/>
      <c r="K2" s="3"/>
      <c r="L2" s="2"/>
      <c r="M2" s="2"/>
    </row>
    <row r="3" spans="2:13" s="4" customFormat="1" ht="14" customHeight="1">
      <c r="B3" s="12"/>
      <c r="C3" s="13"/>
      <c r="D3" s="14"/>
      <c r="E3" s="14"/>
      <c r="F3" s="14"/>
      <c r="G3" s="14"/>
      <c r="H3" s="15"/>
      <c r="I3" s="15"/>
      <c r="J3" s="15"/>
      <c r="K3" s="15"/>
      <c r="L3" s="14"/>
      <c r="M3" s="14"/>
    </row>
    <row r="4" spans="2:13" ht="25">
      <c r="B4" s="64" t="s">
        <v>156</v>
      </c>
      <c r="C4" s="4"/>
      <c r="D4" s="4"/>
      <c r="E4" s="4"/>
      <c r="F4" s="4"/>
      <c r="G4" s="4"/>
      <c r="H4" s="5"/>
      <c r="I4" s="5"/>
      <c r="J4" s="5"/>
      <c r="K4" s="5"/>
      <c r="L4" s="4"/>
      <c r="M4" s="4"/>
    </row>
    <row r="5" spans="2:13">
      <c r="B5" s="26" t="s">
        <v>157</v>
      </c>
      <c r="C5" s="65"/>
      <c r="D5" s="65"/>
      <c r="E5" s="28"/>
      <c r="F5" s="27"/>
      <c r="G5" s="27"/>
      <c r="H5" s="28"/>
      <c r="I5" s="28"/>
      <c r="J5" s="28"/>
      <c r="K5" s="27"/>
      <c r="L5" s="28"/>
      <c r="M5" s="28"/>
    </row>
    <row r="6" spans="2:13">
      <c r="B6" s="26" t="s">
        <v>75</v>
      </c>
      <c r="C6" s="27"/>
      <c r="D6" s="28"/>
      <c r="E6" s="28"/>
      <c r="F6" s="27"/>
      <c r="G6" s="27"/>
      <c r="H6" s="28"/>
      <c r="I6" s="28"/>
      <c r="J6" s="28"/>
      <c r="K6" s="27"/>
      <c r="L6" s="28"/>
      <c r="M6" s="28"/>
    </row>
    <row r="7" spans="2:13">
      <c r="B7" s="26" t="s">
        <v>59</v>
      </c>
      <c r="C7" s="27"/>
      <c r="D7" s="28"/>
      <c r="E7" s="28"/>
      <c r="F7" s="27"/>
      <c r="G7" s="27"/>
      <c r="H7" s="28"/>
      <c r="I7" s="28"/>
      <c r="J7" s="28"/>
      <c r="K7" s="27"/>
      <c r="L7" s="28"/>
      <c r="M7" s="28"/>
    </row>
    <row r="8" spans="2:13">
      <c r="B8" s="27"/>
      <c r="C8" s="27"/>
      <c r="D8" s="65"/>
      <c r="E8" s="28"/>
      <c r="F8" s="27"/>
      <c r="G8" s="66"/>
      <c r="H8" s="28"/>
      <c r="I8" s="28"/>
      <c r="J8" s="28"/>
      <c r="K8" s="66"/>
      <c r="L8" s="28"/>
      <c r="M8" s="28"/>
    </row>
    <row r="9" spans="2:13">
      <c r="B9" s="28" t="s">
        <v>92</v>
      </c>
      <c r="C9" s="27"/>
      <c r="D9" s="27"/>
      <c r="E9" s="28"/>
      <c r="F9" s="27"/>
      <c r="G9" s="66"/>
      <c r="H9" s="28"/>
      <c r="I9" s="28"/>
      <c r="J9" s="28"/>
      <c r="K9" s="66"/>
      <c r="L9" s="28"/>
      <c r="M9" s="28"/>
    </row>
    <row r="10" spans="2:13">
      <c r="B10" s="66"/>
      <c r="C10" s="65"/>
      <c r="D10" s="27"/>
      <c r="E10" s="28"/>
      <c r="F10" s="67"/>
      <c r="G10" s="65"/>
      <c r="H10" s="28"/>
      <c r="I10" s="28"/>
      <c r="J10" s="28"/>
      <c r="K10" s="67"/>
      <c r="L10" s="28"/>
      <c r="M10" s="28"/>
    </row>
    <row r="11" spans="2:13">
      <c r="B11" s="28"/>
      <c r="C11" s="28"/>
      <c r="D11" s="28"/>
      <c r="E11" s="28"/>
      <c r="F11" s="28"/>
      <c r="G11" s="28"/>
      <c r="H11" s="28"/>
      <c r="I11" s="28"/>
      <c r="J11" s="28"/>
      <c r="K11" s="28"/>
      <c r="L11" s="28"/>
      <c r="M11" s="28"/>
    </row>
    <row r="12" spans="2:13" ht="25" customHeight="1">
      <c r="B12" s="61" t="s">
        <v>1</v>
      </c>
      <c r="C12" s="62"/>
      <c r="D12" s="59"/>
      <c r="E12" s="59"/>
      <c r="F12" s="59"/>
      <c r="G12" s="59"/>
      <c r="H12" s="59"/>
      <c r="I12" s="59"/>
      <c r="J12" s="59"/>
      <c r="K12" s="59"/>
      <c r="L12" s="59"/>
      <c r="M12" s="63" t="s">
        <v>72</v>
      </c>
    </row>
    <row r="13" spans="2:13">
      <c r="B13" s="28"/>
      <c r="C13" s="28"/>
      <c r="D13" s="68"/>
      <c r="E13" s="68"/>
      <c r="F13" s="68"/>
      <c r="G13" s="68"/>
      <c r="H13" s="68"/>
      <c r="I13" s="68"/>
      <c r="J13" s="68"/>
      <c r="K13" s="68"/>
      <c r="L13" s="68"/>
      <c r="M13" s="68"/>
    </row>
    <row r="14" spans="2:13" ht="17" customHeight="1">
      <c r="B14" s="28" t="s">
        <v>73</v>
      </c>
      <c r="C14" s="28"/>
      <c r="D14" s="29" t="s">
        <v>158</v>
      </c>
      <c r="E14" s="30"/>
      <c r="F14" s="28"/>
      <c r="G14" s="29"/>
      <c r="H14" s="30"/>
      <c r="I14" s="28"/>
      <c r="J14" s="29"/>
      <c r="K14" s="30"/>
      <c r="L14" s="30"/>
      <c r="M14" s="29"/>
    </row>
    <row r="15" spans="2:13" ht="17" customHeight="1">
      <c r="B15" s="28" t="s">
        <v>119</v>
      </c>
      <c r="C15" s="28"/>
      <c r="D15" s="34">
        <v>280000</v>
      </c>
      <c r="E15" s="35"/>
      <c r="F15" s="28"/>
      <c r="G15" s="34"/>
      <c r="H15" s="35"/>
      <c r="I15" s="28"/>
      <c r="J15" s="34"/>
      <c r="K15" s="35"/>
      <c r="L15" s="35"/>
      <c r="M15" s="34"/>
    </row>
    <row r="16" spans="2:13" ht="17" customHeight="1">
      <c r="B16" s="28"/>
      <c r="C16" s="28"/>
      <c r="D16" s="36"/>
      <c r="E16" s="28"/>
      <c r="F16" s="28"/>
      <c r="G16" s="36"/>
      <c r="H16" s="28"/>
      <c r="I16" s="28"/>
      <c r="J16" s="36"/>
      <c r="K16" s="28"/>
      <c r="L16" s="28"/>
      <c r="M16" s="36"/>
    </row>
    <row r="17" spans="2:17" ht="17" customHeight="1">
      <c r="B17" s="122" t="s">
        <v>63</v>
      </c>
      <c r="C17" s="123"/>
      <c r="D17" s="124"/>
      <c r="E17" s="124"/>
      <c r="F17" s="123"/>
      <c r="G17" s="124"/>
      <c r="H17" s="124"/>
      <c r="I17" s="123"/>
      <c r="J17" s="124"/>
      <c r="K17" s="124"/>
      <c r="L17" s="124"/>
      <c r="M17" s="124"/>
      <c r="O17" s="25"/>
      <c r="P17" s="19"/>
      <c r="Q17" s="19"/>
    </row>
    <row r="18" spans="2:17" ht="17" customHeight="1">
      <c r="B18" s="28" t="s">
        <v>159</v>
      </c>
      <c r="C18" s="28"/>
      <c r="D18" s="34">
        <f>7000+0.025*D15</f>
        <v>14000</v>
      </c>
      <c r="E18" s="35"/>
      <c r="F18" s="28"/>
      <c r="G18" s="34">
        <f>7000+0.025*G15</f>
        <v>7000</v>
      </c>
      <c r="H18" s="35"/>
      <c r="I18" s="28"/>
      <c r="J18" s="34">
        <f>7000+0.025*J15</f>
        <v>7000</v>
      </c>
      <c r="K18" s="35"/>
      <c r="L18" s="35"/>
      <c r="M18" s="34">
        <f>7000+0.025*M15</f>
        <v>7000</v>
      </c>
      <c r="O18" s="20"/>
      <c r="P18" s="129"/>
      <c r="Q18" s="19"/>
    </row>
    <row r="19" spans="2:17" ht="17" customHeight="1">
      <c r="B19" s="48" t="s">
        <v>108</v>
      </c>
      <c r="C19" s="48"/>
      <c r="D19" s="34">
        <v>1100</v>
      </c>
      <c r="E19" s="48"/>
      <c r="F19" s="48"/>
      <c r="G19" s="34"/>
      <c r="H19" s="48"/>
      <c r="I19" s="48"/>
      <c r="J19" s="34"/>
      <c r="K19" s="48"/>
      <c r="L19" s="48"/>
      <c r="M19" s="34"/>
      <c r="O19" s="17"/>
      <c r="P19" s="16"/>
    </row>
    <row r="20" spans="2:17" ht="17" customHeight="1">
      <c r="B20" s="48" t="s">
        <v>110</v>
      </c>
      <c r="C20" s="48"/>
      <c r="D20" s="34">
        <v>3000</v>
      </c>
      <c r="E20" s="69"/>
      <c r="F20" s="48"/>
      <c r="G20" s="34"/>
      <c r="H20" s="69"/>
      <c r="I20" s="48"/>
      <c r="J20" s="34"/>
      <c r="K20" s="69"/>
      <c r="L20" s="69"/>
      <c r="M20" s="34"/>
      <c r="O20" s="20"/>
      <c r="P20" s="129"/>
    </row>
    <row r="21" spans="2:17" ht="17" customHeight="1">
      <c r="B21" s="54" t="s">
        <v>163</v>
      </c>
      <c r="C21" s="70"/>
      <c r="D21" s="34"/>
      <c r="E21" s="54"/>
      <c r="F21" s="70"/>
      <c r="G21" s="34"/>
      <c r="H21" s="54"/>
      <c r="I21" s="70"/>
      <c r="J21" s="34"/>
      <c r="K21" s="54"/>
      <c r="L21" s="54"/>
      <c r="M21" s="34"/>
      <c r="O21" s="20"/>
      <c r="P21" s="129"/>
    </row>
    <row r="22" spans="2:17" ht="17" customHeight="1">
      <c r="B22" s="71" t="s">
        <v>71</v>
      </c>
      <c r="C22" s="48"/>
      <c r="D22" s="34"/>
      <c r="E22" s="48"/>
      <c r="F22" s="48"/>
      <c r="G22" s="34"/>
      <c r="H22" s="48"/>
      <c r="I22" s="48"/>
      <c r="J22" s="34"/>
      <c r="K22" s="48"/>
      <c r="L22" s="48"/>
      <c r="M22" s="34"/>
      <c r="O22" s="21"/>
      <c r="P22" s="129"/>
    </row>
    <row r="23" spans="2:17" ht="17" customHeight="1">
      <c r="B23" s="71" t="s">
        <v>71</v>
      </c>
      <c r="C23" s="48"/>
      <c r="D23" s="34"/>
      <c r="E23" s="48"/>
      <c r="F23" s="48"/>
      <c r="G23" s="34"/>
      <c r="H23" s="48"/>
      <c r="I23" s="48"/>
      <c r="J23" s="34"/>
      <c r="K23" s="48"/>
      <c r="L23" s="48"/>
      <c r="M23" s="34"/>
      <c r="O23" s="20"/>
      <c r="P23" s="129"/>
    </row>
    <row r="24" spans="2:17" ht="17" customHeight="1">
      <c r="B24" s="71" t="s">
        <v>71</v>
      </c>
      <c r="C24" s="48"/>
      <c r="D24" s="34"/>
      <c r="E24" s="48"/>
      <c r="F24" s="48"/>
      <c r="G24" s="34"/>
      <c r="H24" s="48"/>
      <c r="I24" s="48"/>
      <c r="J24" s="34"/>
      <c r="K24" s="48"/>
      <c r="L24" s="48"/>
      <c r="M24" s="34"/>
      <c r="O24" s="20"/>
      <c r="P24" s="129"/>
    </row>
    <row r="25" spans="2:17" ht="17" customHeight="1">
      <c r="B25" s="71" t="s">
        <v>71</v>
      </c>
      <c r="C25" s="48"/>
      <c r="D25" s="49"/>
      <c r="E25" s="48"/>
      <c r="F25" s="48"/>
      <c r="G25" s="49"/>
      <c r="H25" s="48"/>
      <c r="I25" s="48"/>
      <c r="J25" s="49"/>
      <c r="K25" s="48"/>
      <c r="L25" s="48"/>
      <c r="M25" s="49"/>
      <c r="O25" s="20"/>
      <c r="P25" s="129"/>
    </row>
    <row r="26" spans="2:17" ht="17" customHeight="1">
      <c r="B26" s="51" t="s">
        <v>67</v>
      </c>
      <c r="C26" s="48"/>
      <c r="D26" s="52">
        <f>SUM(D18:D25)</f>
        <v>18100</v>
      </c>
      <c r="E26" s="48"/>
      <c r="F26" s="48"/>
      <c r="G26" s="52">
        <f>SUM(G18:G25)</f>
        <v>7000</v>
      </c>
      <c r="H26" s="48"/>
      <c r="I26" s="48"/>
      <c r="J26" s="52">
        <f>SUM(J18:J25)</f>
        <v>7000</v>
      </c>
      <c r="K26" s="48"/>
      <c r="L26" s="48"/>
      <c r="M26" s="52">
        <f>SUM(M18:M25)</f>
        <v>7000</v>
      </c>
      <c r="O26" s="21"/>
      <c r="P26" s="129"/>
    </row>
    <row r="27" spans="2:17" ht="17" customHeight="1">
      <c r="B27" s="54"/>
      <c r="C27" s="48"/>
      <c r="D27" s="55"/>
      <c r="E27" s="48"/>
      <c r="F27" s="48"/>
      <c r="G27" s="55"/>
      <c r="H27" s="48"/>
      <c r="I27" s="48"/>
      <c r="J27" s="55"/>
      <c r="K27" s="48"/>
      <c r="L27" s="48"/>
      <c r="M27" s="55"/>
      <c r="O27" s="20"/>
      <c r="P27" s="136"/>
    </row>
    <row r="28" spans="2:17" ht="17" customHeight="1">
      <c r="B28" s="56" t="s">
        <v>160</v>
      </c>
      <c r="C28" s="48"/>
      <c r="D28" s="57">
        <f>D15-D26</f>
        <v>261900</v>
      </c>
      <c r="E28" s="58"/>
      <c r="F28" s="48"/>
      <c r="G28" s="57" t="e">
        <f>#REF!+G26</f>
        <v>#REF!</v>
      </c>
      <c r="H28" s="58"/>
      <c r="I28" s="48"/>
      <c r="J28" s="57" t="e">
        <f>#REF!+J26</f>
        <v>#REF!</v>
      </c>
      <c r="K28" s="58"/>
      <c r="L28" s="48"/>
      <c r="M28" s="57" t="e">
        <f>#REF!+M26</f>
        <v>#REF!</v>
      </c>
      <c r="O28" s="21"/>
      <c r="P28" s="136"/>
    </row>
    <row r="29" spans="2:17" ht="17" customHeight="1">
      <c r="B29" s="131" t="s">
        <v>161</v>
      </c>
      <c r="C29" s="132"/>
      <c r="D29" s="55">
        <v>187000</v>
      </c>
      <c r="E29" s="58"/>
      <c r="F29" s="48"/>
      <c r="G29" s="57"/>
      <c r="H29" s="58"/>
      <c r="I29" s="48"/>
      <c r="J29" s="57"/>
      <c r="K29" s="58"/>
      <c r="L29" s="48"/>
      <c r="M29" s="57"/>
      <c r="O29" s="21"/>
      <c r="P29" s="130"/>
    </row>
    <row r="30" spans="2:17" ht="17" customHeight="1">
      <c r="B30" s="56" t="s">
        <v>162</v>
      </c>
      <c r="C30" s="48"/>
      <c r="D30" s="57">
        <f>D28-D29</f>
        <v>74900</v>
      </c>
      <c r="E30" s="58"/>
      <c r="F30" s="48"/>
      <c r="G30" s="57"/>
      <c r="H30" s="58"/>
      <c r="I30" s="48"/>
      <c r="J30" s="57"/>
      <c r="K30" s="58"/>
      <c r="L30" s="48"/>
      <c r="M30" s="57"/>
      <c r="O30" s="21"/>
      <c r="P30" s="130"/>
    </row>
    <row r="31" spans="2:17" ht="17" customHeight="1">
      <c r="B31" s="27"/>
      <c r="C31" s="27"/>
      <c r="D31" s="72"/>
      <c r="E31" s="27"/>
      <c r="F31" s="27"/>
      <c r="G31" s="27"/>
      <c r="H31" s="27"/>
      <c r="I31" s="27"/>
      <c r="J31" s="27"/>
      <c r="K31" s="27"/>
      <c r="L31" s="27"/>
      <c r="M31" s="27"/>
    </row>
    <row r="32" spans="2:17" ht="25" customHeight="1">
      <c r="B32" s="10"/>
      <c r="C32" s="10"/>
      <c r="D32" s="10"/>
      <c r="E32" s="134" t="s">
        <v>78</v>
      </c>
      <c r="F32" s="134"/>
      <c r="G32" s="134"/>
      <c r="H32" s="134"/>
      <c r="I32" s="134"/>
      <c r="J32" s="134"/>
      <c r="K32" s="134"/>
      <c r="L32" s="134"/>
      <c r="M32" s="134"/>
    </row>
  </sheetData>
  <mergeCells count="2">
    <mergeCell ref="P27:P28"/>
    <mergeCell ref="E32:M32"/>
  </mergeCells>
  <printOptions horizontalCentered="1"/>
  <pageMargins left="0.75000000000000011" right="0.75000000000000011" top="1" bottom="1" header="0.5" footer="0.5"/>
  <pageSetup scale="70"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M84"/>
  <sheetViews>
    <sheetView showGridLines="0" topLeftCell="A22" workbookViewId="0">
      <selection activeCell="D34" sqref="D34"/>
    </sheetView>
  </sheetViews>
  <sheetFormatPr baseColWidth="10" defaultRowHeight="15" x14ac:dyDescent="0"/>
  <cols>
    <col min="1" max="1" width="5.83203125" customWidth="1"/>
    <col min="2" max="2" width="36.5" customWidth="1"/>
    <col min="3" max="3" width="4.83203125" customWidth="1"/>
    <col min="4" max="4" width="20.33203125" customWidth="1"/>
    <col min="5" max="6" width="4.83203125" customWidth="1"/>
    <col min="7" max="7" width="20.33203125" customWidth="1"/>
    <col min="8" max="9" width="4.83203125" customWidth="1"/>
    <col min="10" max="10" width="20.33203125" customWidth="1"/>
    <col min="11" max="12" width="4.83203125" customWidth="1"/>
    <col min="13" max="13" width="20.33203125" customWidth="1"/>
    <col min="14" max="14" width="7" customWidth="1"/>
  </cols>
  <sheetData>
    <row r="2" spans="2:13" ht="25" customHeight="1">
      <c r="B2" s="61" t="s">
        <v>64</v>
      </c>
      <c r="C2" s="1"/>
      <c r="D2" s="2"/>
      <c r="E2" s="2"/>
      <c r="F2" s="2"/>
      <c r="G2" s="2"/>
      <c r="H2" s="3"/>
      <c r="I2" s="3"/>
      <c r="J2" s="3"/>
      <c r="K2" s="3"/>
      <c r="L2" s="2"/>
      <c r="M2" s="2"/>
    </row>
    <row r="3" spans="2:13" s="4" customFormat="1" ht="14" customHeight="1">
      <c r="B3" s="12"/>
      <c r="C3" s="13"/>
      <c r="D3" s="14"/>
      <c r="E3" s="14"/>
      <c r="F3" s="14"/>
      <c r="G3" s="14"/>
      <c r="H3" s="15"/>
      <c r="I3" s="15"/>
      <c r="J3" s="15"/>
      <c r="K3" s="15"/>
      <c r="L3" s="14"/>
      <c r="M3" s="14"/>
    </row>
    <row r="4" spans="2:13" ht="25">
      <c r="B4" s="64" t="s">
        <v>0</v>
      </c>
      <c r="C4" s="4"/>
      <c r="D4" s="4"/>
      <c r="E4" s="4"/>
      <c r="F4" s="4"/>
      <c r="G4" s="4"/>
      <c r="H4" s="5"/>
      <c r="I4" s="5"/>
      <c r="J4" s="5"/>
      <c r="K4" s="5"/>
      <c r="L4" s="4"/>
      <c r="M4" s="4"/>
    </row>
    <row r="5" spans="2:13" ht="16">
      <c r="B5" s="26" t="s">
        <v>114</v>
      </c>
      <c r="C5" s="6"/>
      <c r="D5" s="6"/>
      <c r="E5" s="4"/>
      <c r="H5" s="5"/>
      <c r="I5" s="4"/>
      <c r="J5" s="5"/>
      <c r="L5" s="4"/>
      <c r="M5" s="4"/>
    </row>
    <row r="6" spans="2:13" ht="16">
      <c r="B6" s="26" t="s">
        <v>75</v>
      </c>
      <c r="D6" s="4"/>
      <c r="E6" s="4"/>
      <c r="H6" s="5"/>
      <c r="I6" s="4"/>
      <c r="J6" s="5"/>
      <c r="L6" s="4"/>
      <c r="M6" s="4"/>
    </row>
    <row r="7" spans="2:13" ht="16">
      <c r="B7" s="26" t="s">
        <v>59</v>
      </c>
      <c r="D7" s="4"/>
      <c r="E7" s="4"/>
      <c r="H7" s="5"/>
      <c r="I7" s="4"/>
      <c r="J7" s="5"/>
      <c r="L7" s="4"/>
      <c r="M7" s="4"/>
    </row>
    <row r="8" spans="2:13" ht="16">
      <c r="B8" s="27"/>
      <c r="D8" s="6"/>
      <c r="E8" s="4"/>
      <c r="G8" s="7"/>
      <c r="H8" s="4"/>
      <c r="I8" s="5"/>
      <c r="J8" s="5"/>
      <c r="K8" s="7"/>
      <c r="L8" s="4"/>
      <c r="M8" s="4"/>
    </row>
    <row r="9" spans="2:13" ht="16">
      <c r="B9" s="28" t="s">
        <v>92</v>
      </c>
      <c r="E9" s="4"/>
      <c r="G9" s="7"/>
      <c r="H9" s="4"/>
      <c r="I9" s="5"/>
      <c r="J9" s="5"/>
      <c r="K9" s="7"/>
      <c r="L9" s="4"/>
      <c r="M9" s="4"/>
    </row>
    <row r="10" spans="2:13" ht="16">
      <c r="B10" s="7"/>
      <c r="C10" s="6"/>
      <c r="E10" s="4"/>
      <c r="F10" s="8"/>
      <c r="G10" s="6"/>
      <c r="H10" s="4"/>
      <c r="I10" s="5"/>
      <c r="J10" s="5"/>
      <c r="K10" s="8"/>
      <c r="L10" s="4"/>
      <c r="M10" s="4"/>
    </row>
    <row r="11" spans="2:13" ht="16">
      <c r="B11" s="4"/>
      <c r="C11" s="4"/>
      <c r="D11" s="4"/>
      <c r="E11" s="4"/>
      <c r="F11" s="4"/>
      <c r="G11" s="4"/>
      <c r="H11" s="4"/>
      <c r="I11" s="4"/>
      <c r="J11" s="5"/>
      <c r="K11" s="5"/>
      <c r="L11" s="5"/>
      <c r="M11" s="5"/>
    </row>
    <row r="12" spans="2:13" ht="25">
      <c r="B12" s="61" t="s">
        <v>1</v>
      </c>
      <c r="C12" s="9"/>
      <c r="D12" s="10"/>
      <c r="E12" s="10"/>
      <c r="F12" s="10"/>
      <c r="G12" s="10"/>
      <c r="H12" s="10"/>
      <c r="I12" s="10"/>
      <c r="J12" s="10"/>
      <c r="K12" s="10"/>
      <c r="L12" s="10"/>
      <c r="M12" s="63" t="s">
        <v>72</v>
      </c>
    </row>
    <row r="13" spans="2:13">
      <c r="B13" s="4"/>
      <c r="C13" s="4"/>
      <c r="D13" s="11"/>
      <c r="E13" s="11"/>
      <c r="F13" s="11"/>
      <c r="G13" s="11"/>
      <c r="H13" s="11"/>
      <c r="I13" s="11"/>
      <c r="J13" s="11"/>
      <c r="K13" s="11"/>
      <c r="L13" s="11"/>
      <c r="M13" s="11"/>
    </row>
    <row r="14" spans="2:13" s="27" customFormat="1" ht="17" customHeight="1">
      <c r="B14" s="75" t="s">
        <v>74</v>
      </c>
      <c r="C14" s="28"/>
      <c r="D14" s="29"/>
      <c r="E14" s="30"/>
      <c r="F14" s="28"/>
      <c r="G14" s="29"/>
      <c r="H14" s="30"/>
      <c r="I14" s="28"/>
      <c r="J14" s="29"/>
      <c r="K14" s="30"/>
      <c r="L14" s="30"/>
      <c r="M14" s="29" t="s">
        <v>80</v>
      </c>
    </row>
    <row r="15" spans="2:13" s="27" customFormat="1" ht="50" customHeight="1">
      <c r="B15" s="33" t="s">
        <v>60</v>
      </c>
      <c r="C15" s="28"/>
      <c r="D15" s="60"/>
      <c r="E15" s="73"/>
      <c r="F15" s="74"/>
      <c r="G15" s="60"/>
      <c r="H15" s="73"/>
      <c r="I15" s="74"/>
      <c r="J15" s="60"/>
      <c r="K15" s="73"/>
      <c r="L15" s="73"/>
      <c r="M15" s="60" t="s">
        <v>81</v>
      </c>
    </row>
    <row r="16" spans="2:13" s="27" customFormat="1" ht="17" customHeight="1">
      <c r="B16" s="28" t="s">
        <v>2</v>
      </c>
      <c r="C16" s="28"/>
      <c r="D16" s="76"/>
      <c r="E16" s="77"/>
      <c r="F16" s="28"/>
      <c r="G16" s="76"/>
      <c r="H16" s="77"/>
      <c r="I16" s="28"/>
      <c r="J16" s="76"/>
      <c r="K16" s="77"/>
      <c r="L16" s="77"/>
      <c r="M16" s="76">
        <v>1</v>
      </c>
    </row>
    <row r="17" spans="2:13" s="27" customFormat="1" ht="17" customHeight="1">
      <c r="B17" s="28" t="s">
        <v>3</v>
      </c>
      <c r="C17" s="28"/>
      <c r="D17" s="41"/>
      <c r="E17" s="28"/>
      <c r="F17" s="28"/>
      <c r="G17" s="41"/>
      <c r="H17" s="28"/>
      <c r="I17" s="28"/>
      <c r="J17" s="41"/>
      <c r="K17" s="28"/>
      <c r="L17" s="28"/>
      <c r="M17" s="41">
        <v>2005</v>
      </c>
    </row>
    <row r="18" spans="2:13" s="27" customFormat="1" ht="17" customHeight="1">
      <c r="B18" s="28" t="s">
        <v>4</v>
      </c>
      <c r="C18" s="28"/>
      <c r="D18" s="34"/>
      <c r="E18" s="35"/>
      <c r="F18" s="28"/>
      <c r="G18" s="34"/>
      <c r="H18" s="35"/>
      <c r="I18" s="28"/>
      <c r="J18" s="34"/>
      <c r="K18" s="35"/>
      <c r="L18" s="35"/>
      <c r="M18" s="34">
        <v>485000</v>
      </c>
    </row>
    <row r="19" spans="2:13" s="27" customFormat="1" ht="17" customHeight="1">
      <c r="B19" s="28"/>
      <c r="C19" s="28"/>
      <c r="D19" s="36"/>
      <c r="E19" s="28"/>
      <c r="F19" s="28"/>
      <c r="G19" s="36"/>
      <c r="H19" s="28"/>
      <c r="I19" s="28"/>
      <c r="J19" s="36"/>
      <c r="K19" s="28"/>
      <c r="L19" s="28"/>
      <c r="M19" s="36"/>
    </row>
    <row r="20" spans="2:13" s="27" customFormat="1" ht="17" customHeight="1">
      <c r="B20" s="122" t="s">
        <v>5</v>
      </c>
      <c r="C20" s="123"/>
      <c r="D20" s="124"/>
      <c r="E20" s="124"/>
      <c r="F20" s="123"/>
      <c r="G20" s="124"/>
      <c r="H20" s="124"/>
      <c r="I20" s="123"/>
      <c r="J20" s="124"/>
      <c r="K20" s="124"/>
      <c r="L20" s="124"/>
      <c r="M20" s="124"/>
    </row>
    <row r="21" spans="2:13" s="27" customFormat="1" ht="17" customHeight="1">
      <c r="B21" s="28" t="s">
        <v>6</v>
      </c>
      <c r="C21" s="28"/>
      <c r="D21" s="34"/>
      <c r="E21" s="35"/>
      <c r="F21" s="28"/>
      <c r="G21" s="34"/>
      <c r="H21" s="35"/>
      <c r="I21" s="28"/>
      <c r="J21" s="34"/>
      <c r="K21" s="35"/>
      <c r="L21" s="35"/>
      <c r="M21" s="34">
        <f>M18*0.2</f>
        <v>97000</v>
      </c>
    </row>
    <row r="22" spans="2:13" s="27" customFormat="1" ht="17" customHeight="1">
      <c r="B22" s="28" t="s">
        <v>7</v>
      </c>
      <c r="C22" s="28"/>
      <c r="D22" s="35">
        <f>D18-D21</f>
        <v>0</v>
      </c>
      <c r="E22" s="35"/>
      <c r="F22" s="28"/>
      <c r="G22" s="35">
        <f>G18-G21</f>
        <v>0</v>
      </c>
      <c r="H22" s="35"/>
      <c r="I22" s="28"/>
      <c r="J22" s="35">
        <f>J18-J21</f>
        <v>0</v>
      </c>
      <c r="K22" s="35"/>
      <c r="L22" s="35"/>
      <c r="M22" s="35">
        <f>M18-M21</f>
        <v>388000</v>
      </c>
    </row>
    <row r="23" spans="2:13" s="27" customFormat="1" ht="17" customHeight="1">
      <c r="B23" s="28" t="s">
        <v>8</v>
      </c>
      <c r="C23" s="28"/>
      <c r="D23" s="39"/>
      <c r="E23" s="78"/>
      <c r="F23" s="28"/>
      <c r="G23" s="39"/>
      <c r="H23" s="78"/>
      <c r="I23" s="28"/>
      <c r="J23" s="39"/>
      <c r="K23" s="78"/>
      <c r="L23" s="78"/>
      <c r="M23" s="39">
        <v>2.5899999999999999E-2</v>
      </c>
    </row>
    <row r="24" spans="2:13" s="27" customFormat="1" ht="17" customHeight="1">
      <c r="B24" s="48" t="s">
        <v>9</v>
      </c>
      <c r="C24" s="48"/>
      <c r="D24" s="79">
        <f>D23/D26</f>
        <v>0</v>
      </c>
      <c r="E24" s="53"/>
      <c r="F24" s="48"/>
      <c r="G24" s="79">
        <f>G23/G26</f>
        <v>0</v>
      </c>
      <c r="H24" s="53"/>
      <c r="I24" s="48"/>
      <c r="J24" s="79">
        <f>J23/J26</f>
        <v>0</v>
      </c>
      <c r="K24" s="53"/>
      <c r="L24" s="53"/>
      <c r="M24" s="79">
        <f>M23/M26</f>
        <v>2.1583333333333333E-3</v>
      </c>
    </row>
    <row r="25" spans="2:13" s="27" customFormat="1" ht="17" customHeight="1">
      <c r="B25" s="28" t="s">
        <v>10</v>
      </c>
      <c r="C25" s="28"/>
      <c r="D25" s="41"/>
      <c r="E25" s="80"/>
      <c r="F25" s="28"/>
      <c r="G25" s="41"/>
      <c r="H25" s="80"/>
      <c r="I25" s="28"/>
      <c r="J25" s="41"/>
      <c r="K25" s="80"/>
      <c r="L25" s="80"/>
      <c r="M25" s="41">
        <v>5</v>
      </c>
    </row>
    <row r="26" spans="2:13" s="27" customFormat="1" ht="17" customHeight="1">
      <c r="B26" s="28" t="s">
        <v>11</v>
      </c>
      <c r="C26" s="28"/>
      <c r="D26" s="81">
        <v>12</v>
      </c>
      <c r="E26" s="28"/>
      <c r="F26" s="28"/>
      <c r="G26" s="81">
        <v>12</v>
      </c>
      <c r="H26" s="28"/>
      <c r="I26" s="28"/>
      <c r="J26" s="81">
        <v>12</v>
      </c>
      <c r="K26" s="28"/>
      <c r="L26" s="28"/>
      <c r="M26" s="81">
        <v>12</v>
      </c>
    </row>
    <row r="27" spans="2:13" s="27" customFormat="1" ht="17" customHeight="1">
      <c r="B27" s="48" t="s">
        <v>12</v>
      </c>
      <c r="C27" s="48"/>
      <c r="D27" s="82">
        <f>D25*D26</f>
        <v>0</v>
      </c>
      <c r="E27" s="48"/>
      <c r="F27" s="48"/>
      <c r="G27" s="82">
        <f>G25*G26</f>
        <v>0</v>
      </c>
      <c r="H27" s="48"/>
      <c r="I27" s="48"/>
      <c r="J27" s="82">
        <f>J25*J26</f>
        <v>0</v>
      </c>
      <c r="K27" s="48"/>
      <c r="L27" s="48"/>
      <c r="M27" s="82">
        <f>M25*M26</f>
        <v>60</v>
      </c>
    </row>
    <row r="28" spans="2:13" s="27" customFormat="1" ht="17" customHeight="1">
      <c r="B28" s="28" t="s">
        <v>13</v>
      </c>
      <c r="C28" s="28"/>
      <c r="D28" s="41"/>
      <c r="E28" s="28"/>
      <c r="F28" s="28"/>
      <c r="G28" s="41"/>
      <c r="H28" s="28"/>
      <c r="I28" s="28"/>
      <c r="J28" s="41"/>
      <c r="K28" s="28"/>
      <c r="L28" s="28"/>
      <c r="M28" s="41">
        <v>25</v>
      </c>
    </row>
    <row r="29" spans="2:13" s="27" customFormat="1" ht="17" customHeight="1">
      <c r="B29" s="48" t="s">
        <v>14</v>
      </c>
      <c r="C29" s="48"/>
      <c r="D29" s="81">
        <f>D26*D28</f>
        <v>0</v>
      </c>
      <c r="E29" s="48"/>
      <c r="F29" s="48"/>
      <c r="G29" s="81">
        <f>G26*G28</f>
        <v>0</v>
      </c>
      <c r="H29" s="48"/>
      <c r="I29" s="48"/>
      <c r="J29" s="81">
        <f>J26*J28</f>
        <v>0</v>
      </c>
      <c r="K29" s="48"/>
      <c r="L29" s="48"/>
      <c r="M29" s="81">
        <f>M26*M28</f>
        <v>300</v>
      </c>
    </row>
    <row r="30" spans="2:13" s="27" customFormat="1" ht="17" customHeight="1">
      <c r="B30" s="83" t="s">
        <v>15</v>
      </c>
      <c r="C30" s="28"/>
      <c r="D30" s="58" t="e">
        <f>-PMT(D24,D29,D22)</f>
        <v>#NUM!</v>
      </c>
      <c r="E30" s="36"/>
      <c r="F30" s="28"/>
      <c r="G30" s="58" t="e">
        <f>-PMT(G24,G29,G22)</f>
        <v>#NUM!</v>
      </c>
      <c r="H30" s="36"/>
      <c r="I30" s="28"/>
      <c r="J30" s="58" t="e">
        <f>-PMT(J24,J29,J22)</f>
        <v>#NUM!</v>
      </c>
      <c r="K30" s="36"/>
      <c r="L30" s="36"/>
      <c r="M30" s="58">
        <f>-PMT(M24,M29,M22)</f>
        <v>1758.2714106213393</v>
      </c>
    </row>
    <row r="31" spans="2:13" s="27" customFormat="1" ht="17" customHeight="1">
      <c r="B31" s="28"/>
      <c r="C31" s="28"/>
      <c r="D31" s="84"/>
      <c r="E31" s="36"/>
      <c r="F31" s="28"/>
      <c r="G31" s="84"/>
      <c r="H31" s="36"/>
      <c r="I31" s="28"/>
      <c r="J31" s="84"/>
      <c r="K31" s="36"/>
      <c r="L31" s="36"/>
      <c r="M31" s="84"/>
    </row>
    <row r="32" spans="2:13" s="27" customFormat="1" ht="17" customHeight="1">
      <c r="B32" s="122" t="s">
        <v>16</v>
      </c>
      <c r="C32" s="123"/>
      <c r="D32" s="124"/>
      <c r="E32" s="124"/>
      <c r="F32" s="123"/>
      <c r="G32" s="124"/>
      <c r="H32" s="124"/>
      <c r="I32" s="123"/>
      <c r="J32" s="124"/>
      <c r="K32" s="124"/>
      <c r="L32" s="124"/>
      <c r="M32" s="124"/>
    </row>
    <row r="33" spans="2:13" s="27" customFormat="1" ht="17" customHeight="1">
      <c r="B33" s="85" t="s">
        <v>17</v>
      </c>
      <c r="C33" s="28"/>
      <c r="D33" s="34">
        <f>2000+0.02*(D18-200000)</f>
        <v>-2000</v>
      </c>
      <c r="E33" s="28"/>
      <c r="F33" s="28"/>
      <c r="G33" s="34">
        <f>2000+0.02*(G18-200000)</f>
        <v>-2000</v>
      </c>
      <c r="H33" s="28"/>
      <c r="I33" s="28"/>
      <c r="J33" s="34">
        <f>2000+0.02*(J18-200000)</f>
        <v>-2000</v>
      </c>
      <c r="K33" s="28"/>
      <c r="L33" s="28"/>
      <c r="M33" s="34">
        <f>2000+0.02*(M18-200000)</f>
        <v>7700</v>
      </c>
    </row>
    <row r="34" spans="2:13" s="27" customFormat="1" ht="17" customHeight="1">
      <c r="B34" s="85" t="s">
        <v>164</v>
      </c>
      <c r="C34" s="28"/>
      <c r="D34" s="34"/>
      <c r="E34" s="28"/>
      <c r="F34" s="28"/>
      <c r="G34" s="34"/>
      <c r="H34" s="28"/>
      <c r="I34" s="28"/>
      <c r="J34" s="34"/>
      <c r="K34" s="28"/>
      <c r="L34" s="28"/>
      <c r="M34" s="34"/>
    </row>
    <row r="35" spans="2:13" s="27" customFormat="1" ht="17" customHeight="1">
      <c r="B35" s="85" t="s">
        <v>18</v>
      </c>
      <c r="C35" s="28"/>
      <c r="D35" s="34"/>
      <c r="E35" s="28"/>
      <c r="F35" s="28"/>
      <c r="G35" s="34"/>
      <c r="H35" s="28"/>
      <c r="I35" s="28"/>
      <c r="J35" s="34"/>
      <c r="K35" s="28"/>
      <c r="L35" s="28"/>
      <c r="M35" s="34">
        <v>1000</v>
      </c>
    </row>
    <row r="36" spans="2:13" s="27" customFormat="1" ht="17" customHeight="1">
      <c r="B36" s="85" t="s">
        <v>19</v>
      </c>
      <c r="C36" s="28"/>
      <c r="D36" s="34"/>
      <c r="E36" s="28"/>
      <c r="F36" s="28"/>
      <c r="G36" s="34"/>
      <c r="H36" s="28"/>
      <c r="I36" s="28"/>
      <c r="J36" s="34"/>
      <c r="K36" s="28"/>
      <c r="L36" s="28"/>
      <c r="M36" s="34">
        <v>250</v>
      </c>
    </row>
    <row r="37" spans="2:13" s="27" customFormat="1" ht="17" customHeight="1">
      <c r="B37" s="45" t="s">
        <v>20</v>
      </c>
      <c r="C37" s="28"/>
      <c r="D37" s="34"/>
      <c r="E37" s="28"/>
      <c r="F37" s="28"/>
      <c r="G37" s="34"/>
      <c r="H37" s="28"/>
      <c r="I37" s="28"/>
      <c r="J37" s="34"/>
      <c r="K37" s="28"/>
      <c r="L37" s="28"/>
      <c r="M37" s="34">
        <v>450</v>
      </c>
    </row>
    <row r="38" spans="2:13" s="27" customFormat="1" ht="17" customHeight="1">
      <c r="B38" s="45" t="s">
        <v>21</v>
      </c>
      <c r="C38" s="28"/>
      <c r="D38" s="34"/>
      <c r="E38" s="35"/>
      <c r="F38" s="28"/>
      <c r="G38" s="34"/>
      <c r="H38" s="35"/>
      <c r="I38" s="28"/>
      <c r="J38" s="34"/>
      <c r="K38" s="35"/>
      <c r="L38" s="28"/>
      <c r="M38" s="34">
        <v>500</v>
      </c>
    </row>
    <row r="39" spans="2:13" s="27" customFormat="1" ht="17" customHeight="1">
      <c r="B39" s="45" t="s">
        <v>71</v>
      </c>
      <c r="C39" s="28"/>
      <c r="D39" s="49"/>
      <c r="E39" s="35"/>
      <c r="F39" s="28"/>
      <c r="G39" s="49"/>
      <c r="H39" s="35"/>
      <c r="I39" s="28"/>
      <c r="J39" s="49"/>
      <c r="K39" s="35"/>
      <c r="L39" s="28"/>
      <c r="M39" s="49"/>
    </row>
    <row r="40" spans="2:13" s="27" customFormat="1" ht="17" customHeight="1">
      <c r="B40" s="86" t="s">
        <v>22</v>
      </c>
      <c r="C40" s="28"/>
      <c r="D40" s="52">
        <f>SUM(D33:D39)</f>
        <v>-2000</v>
      </c>
      <c r="E40" s="87"/>
      <c r="F40" s="88"/>
      <c r="G40" s="52">
        <f>SUM(G33:G39)</f>
        <v>-2000</v>
      </c>
      <c r="H40" s="87"/>
      <c r="I40" s="88"/>
      <c r="J40" s="52">
        <f>SUM(J33:J39)</f>
        <v>-2000</v>
      </c>
      <c r="K40" s="87"/>
      <c r="L40" s="88"/>
      <c r="M40" s="52">
        <f>SUM(M33:M39)</f>
        <v>9900</v>
      </c>
    </row>
    <row r="41" spans="2:13" s="27" customFormat="1" ht="17" customHeight="1">
      <c r="B41" s="28"/>
      <c r="C41" s="28"/>
      <c r="D41" s="35"/>
      <c r="E41" s="28"/>
      <c r="F41" s="28"/>
      <c r="G41" s="35"/>
      <c r="H41" s="28"/>
      <c r="I41" s="28"/>
      <c r="J41" s="35"/>
      <c r="K41" s="28"/>
      <c r="L41" s="28"/>
      <c r="M41" s="35"/>
    </row>
    <row r="42" spans="2:13" s="27" customFormat="1" ht="17" customHeight="1">
      <c r="B42" s="122" t="s">
        <v>23</v>
      </c>
      <c r="C42" s="123"/>
      <c r="D42" s="124"/>
      <c r="E42" s="124"/>
      <c r="F42" s="123"/>
      <c r="G42" s="124"/>
      <c r="H42" s="124"/>
      <c r="I42" s="123"/>
      <c r="J42" s="124"/>
      <c r="K42" s="124"/>
      <c r="L42" s="124"/>
      <c r="M42" s="124"/>
    </row>
    <row r="43" spans="2:13" s="27" customFormat="1" ht="17" customHeight="1">
      <c r="B43" s="28" t="s">
        <v>24</v>
      </c>
      <c r="C43" s="28"/>
      <c r="D43" s="34"/>
      <c r="E43" s="35"/>
      <c r="F43" s="28"/>
      <c r="G43" s="34"/>
      <c r="H43" s="35"/>
      <c r="I43" s="28"/>
      <c r="J43" s="34"/>
      <c r="K43" s="35"/>
      <c r="L43" s="28"/>
      <c r="M43" s="34">
        <v>1650</v>
      </c>
    </row>
    <row r="44" spans="2:13" s="27" customFormat="1" ht="17" customHeight="1">
      <c r="B44" s="28" t="s">
        <v>25</v>
      </c>
      <c r="C44" s="28"/>
      <c r="D44" s="34"/>
      <c r="E44" s="35"/>
      <c r="F44" s="28"/>
      <c r="G44" s="34"/>
      <c r="H44" s="35"/>
      <c r="I44" s="28"/>
      <c r="J44" s="34"/>
      <c r="K44" s="35"/>
      <c r="L44" s="28"/>
      <c r="M44" s="34">
        <v>0</v>
      </c>
    </row>
    <row r="45" spans="2:13" s="27" customFormat="1" ht="17" customHeight="1">
      <c r="B45" s="28" t="s">
        <v>26</v>
      </c>
      <c r="C45" s="28"/>
      <c r="D45" s="34"/>
      <c r="E45" s="35"/>
      <c r="F45" s="28"/>
      <c r="G45" s="34"/>
      <c r="H45" s="35"/>
      <c r="I45" s="28"/>
      <c r="J45" s="34"/>
      <c r="K45" s="35"/>
      <c r="L45" s="28"/>
      <c r="M45" s="34">
        <v>0</v>
      </c>
    </row>
    <row r="46" spans="2:13" s="27" customFormat="1" ht="17" customHeight="1">
      <c r="B46" s="28" t="s">
        <v>27</v>
      </c>
      <c r="C46" s="28"/>
      <c r="D46" s="34"/>
      <c r="E46" s="35"/>
      <c r="F46" s="28"/>
      <c r="G46" s="34"/>
      <c r="H46" s="35"/>
      <c r="I46" s="28"/>
      <c r="J46" s="34"/>
      <c r="K46" s="35"/>
      <c r="L46" s="28"/>
      <c r="M46" s="34">
        <v>0</v>
      </c>
    </row>
    <row r="47" spans="2:13" s="27" customFormat="1" ht="17" customHeight="1">
      <c r="B47" s="28" t="s">
        <v>28</v>
      </c>
      <c r="C47" s="28"/>
      <c r="D47" s="34"/>
      <c r="E47" s="35"/>
      <c r="F47" s="28"/>
      <c r="G47" s="34"/>
      <c r="H47" s="35"/>
      <c r="I47" s="28"/>
      <c r="J47" s="34"/>
      <c r="K47" s="35"/>
      <c r="L47" s="28"/>
      <c r="M47" s="34">
        <v>0</v>
      </c>
    </row>
    <row r="48" spans="2:13" s="27" customFormat="1" ht="17" customHeight="1">
      <c r="B48" s="28" t="s">
        <v>29</v>
      </c>
      <c r="C48" s="28"/>
      <c r="D48" s="49"/>
      <c r="E48" s="58"/>
      <c r="F48" s="28"/>
      <c r="G48" s="49"/>
      <c r="H48" s="58"/>
      <c r="I48" s="28"/>
      <c r="J48" s="49"/>
      <c r="K48" s="58"/>
      <c r="L48" s="28"/>
      <c r="M48" s="49">
        <v>0</v>
      </c>
    </row>
    <row r="49" spans="2:13" s="27" customFormat="1" ht="17" customHeight="1">
      <c r="B49" s="83" t="s">
        <v>30</v>
      </c>
      <c r="C49" s="28"/>
      <c r="D49" s="89">
        <f>SUM(D43:D48)</f>
        <v>0</v>
      </c>
      <c r="E49" s="58"/>
      <c r="F49" s="28"/>
      <c r="G49" s="89">
        <f>SUM(G43:G48)</f>
        <v>0</v>
      </c>
      <c r="H49" s="58"/>
      <c r="I49" s="28"/>
      <c r="J49" s="89">
        <f>SUM(J43:J48)</f>
        <v>0</v>
      </c>
      <c r="K49" s="58"/>
      <c r="L49" s="28"/>
      <c r="M49" s="89">
        <f>SUM(M43:M48)</f>
        <v>1650</v>
      </c>
    </row>
    <row r="50" spans="2:13" s="27" customFormat="1" ht="17" customHeight="1">
      <c r="B50" s="28"/>
      <c r="C50" s="28"/>
      <c r="D50" s="28"/>
      <c r="E50" s="28"/>
      <c r="F50" s="28"/>
      <c r="G50" s="28"/>
      <c r="H50" s="28"/>
      <c r="I50" s="28"/>
      <c r="J50" s="28"/>
      <c r="K50" s="28"/>
      <c r="L50" s="28"/>
      <c r="M50" s="28"/>
    </row>
    <row r="51" spans="2:13" s="27" customFormat="1" ht="17" customHeight="1">
      <c r="B51" s="122" t="s">
        <v>31</v>
      </c>
      <c r="C51" s="123"/>
      <c r="D51" s="124"/>
      <c r="E51" s="124"/>
      <c r="F51" s="123"/>
      <c r="G51" s="124"/>
      <c r="H51" s="124"/>
      <c r="I51" s="123"/>
      <c r="J51" s="124"/>
      <c r="K51" s="124"/>
      <c r="L51" s="124"/>
      <c r="M51" s="124"/>
    </row>
    <row r="52" spans="2:13" s="27" customFormat="1" ht="17" customHeight="1">
      <c r="B52" s="28" t="s">
        <v>32</v>
      </c>
      <c r="C52" s="28"/>
      <c r="D52" s="34"/>
      <c r="E52" s="77"/>
      <c r="F52" s="28"/>
      <c r="G52" s="34"/>
      <c r="H52" s="77"/>
      <c r="I52" s="28"/>
      <c r="J52" s="34"/>
      <c r="K52" s="77"/>
      <c r="L52" s="28"/>
      <c r="M52" s="34">
        <v>0</v>
      </c>
    </row>
    <row r="53" spans="2:13" s="27" customFormat="1" ht="17" customHeight="1">
      <c r="B53" s="28" t="s">
        <v>33</v>
      </c>
      <c r="C53" s="28"/>
      <c r="D53" s="34"/>
      <c r="E53" s="77"/>
      <c r="F53" s="28"/>
      <c r="G53" s="34"/>
      <c r="H53" s="77"/>
      <c r="I53" s="28"/>
      <c r="J53" s="34"/>
      <c r="K53" s="77"/>
      <c r="L53" s="28"/>
      <c r="M53" s="34">
        <v>0</v>
      </c>
    </row>
    <row r="54" spans="2:13" s="27" customFormat="1" ht="17" customHeight="1">
      <c r="B54" s="28" t="s">
        <v>34</v>
      </c>
      <c r="C54" s="28"/>
      <c r="D54" s="34"/>
      <c r="E54" s="77"/>
      <c r="F54" s="28"/>
      <c r="G54" s="34"/>
      <c r="H54" s="77"/>
      <c r="I54" s="28"/>
      <c r="J54" s="34"/>
      <c r="K54" s="77"/>
      <c r="L54" s="28"/>
      <c r="M54" s="34">
        <v>0</v>
      </c>
    </row>
    <row r="55" spans="2:13" s="27" customFormat="1" ht="17" customHeight="1">
      <c r="B55" s="28" t="s">
        <v>35</v>
      </c>
      <c r="C55" s="28"/>
      <c r="D55" s="34"/>
      <c r="E55" s="35"/>
      <c r="F55" s="28"/>
      <c r="G55" s="34"/>
      <c r="H55" s="35"/>
      <c r="I55" s="28"/>
      <c r="J55" s="34"/>
      <c r="K55" s="35"/>
      <c r="L55" s="28"/>
      <c r="M55" s="34">
        <f>1407/12</f>
        <v>117.25</v>
      </c>
    </row>
    <row r="56" spans="2:13" s="27" customFormat="1" ht="17" customHeight="1">
      <c r="B56" s="28" t="s">
        <v>36</v>
      </c>
      <c r="C56" s="28"/>
      <c r="D56" s="34"/>
      <c r="E56" s="35"/>
      <c r="F56" s="28"/>
      <c r="G56" s="34"/>
      <c r="H56" s="35"/>
      <c r="I56" s="28"/>
      <c r="J56" s="34"/>
      <c r="K56" s="35"/>
      <c r="L56" s="28"/>
      <c r="M56" s="34">
        <v>0</v>
      </c>
    </row>
    <row r="57" spans="2:13" s="27" customFormat="1" ht="17" customHeight="1">
      <c r="B57" s="28" t="s">
        <v>37</v>
      </c>
      <c r="C57" s="28"/>
      <c r="D57" s="34"/>
      <c r="E57" s="35"/>
      <c r="F57" s="28"/>
      <c r="G57" s="34"/>
      <c r="H57" s="35"/>
      <c r="I57" s="28"/>
      <c r="J57" s="34"/>
      <c r="K57" s="35"/>
      <c r="L57" s="28"/>
      <c r="M57" s="34">
        <v>235.08</v>
      </c>
    </row>
    <row r="58" spans="2:13" s="27" customFormat="1" ht="17" customHeight="1">
      <c r="B58" s="28" t="s">
        <v>38</v>
      </c>
      <c r="C58" s="28"/>
      <c r="D58" s="34"/>
      <c r="E58" s="35"/>
      <c r="F58" s="28"/>
      <c r="G58" s="34"/>
      <c r="H58" s="35"/>
      <c r="I58" s="28"/>
      <c r="J58" s="34"/>
      <c r="K58" s="35"/>
      <c r="L58" s="28"/>
      <c r="M58" s="34">
        <f>450/12</f>
        <v>37.5</v>
      </c>
    </row>
    <row r="59" spans="2:13" s="27" customFormat="1" ht="17" customHeight="1">
      <c r="B59" s="28" t="s">
        <v>39</v>
      </c>
      <c r="C59" s="90"/>
      <c r="D59" s="35">
        <f>C59*D49</f>
        <v>0</v>
      </c>
      <c r="E59" s="91"/>
      <c r="F59" s="90"/>
      <c r="G59" s="35">
        <f>F59*G49</f>
        <v>0</v>
      </c>
      <c r="H59" s="35"/>
      <c r="I59" s="90"/>
      <c r="J59" s="35">
        <f>I59*J49</f>
        <v>0</v>
      </c>
      <c r="K59" s="35"/>
      <c r="L59" s="90">
        <v>0.03</v>
      </c>
      <c r="M59" s="35">
        <f>L59*M49</f>
        <v>49.5</v>
      </c>
    </row>
    <row r="60" spans="2:13" s="27" customFormat="1" ht="17" customHeight="1">
      <c r="B60" s="28" t="s">
        <v>40</v>
      </c>
      <c r="C60" s="28"/>
      <c r="D60" s="34" t="e">
        <f>D39/D27</f>
        <v>#DIV/0!</v>
      </c>
      <c r="E60" s="35"/>
      <c r="F60" s="28"/>
      <c r="G60" s="34" t="e">
        <f>G39/G27</f>
        <v>#DIV/0!</v>
      </c>
      <c r="H60" s="35"/>
      <c r="I60" s="28"/>
      <c r="J60" s="34" t="e">
        <f>J39/J27</f>
        <v>#DIV/0!</v>
      </c>
      <c r="K60" s="35"/>
      <c r="L60" s="28"/>
      <c r="M60" s="34">
        <f>M39/M27</f>
        <v>0</v>
      </c>
    </row>
    <row r="61" spans="2:13" s="27" customFormat="1" ht="17" customHeight="1">
      <c r="B61" s="28" t="s">
        <v>41</v>
      </c>
      <c r="C61" s="90"/>
      <c r="D61" s="35">
        <f>C61*D49</f>
        <v>0</v>
      </c>
      <c r="E61" s="91"/>
      <c r="F61" s="90"/>
      <c r="G61" s="35">
        <f>F61*G49</f>
        <v>0</v>
      </c>
      <c r="H61" s="35"/>
      <c r="I61" s="90"/>
      <c r="J61" s="35">
        <f>I61*J49</f>
        <v>0</v>
      </c>
      <c r="K61" s="35"/>
      <c r="L61" s="90"/>
      <c r="M61" s="35">
        <f>L61*M49</f>
        <v>0</v>
      </c>
    </row>
    <row r="62" spans="2:13" s="27" customFormat="1" ht="17" customHeight="1">
      <c r="B62" s="28" t="s">
        <v>42</v>
      </c>
      <c r="C62" s="28"/>
      <c r="D62" s="34">
        <v>0</v>
      </c>
      <c r="E62" s="35"/>
      <c r="F62" s="28"/>
      <c r="G62" s="34">
        <v>0</v>
      </c>
      <c r="H62" s="35"/>
      <c r="I62" s="28"/>
      <c r="J62" s="34">
        <v>0</v>
      </c>
      <c r="K62" s="35"/>
      <c r="L62" s="28"/>
      <c r="M62" s="34">
        <v>0</v>
      </c>
    </row>
    <row r="63" spans="2:13" s="27" customFormat="1" ht="17" customHeight="1">
      <c r="B63" s="28" t="s">
        <v>43</v>
      </c>
      <c r="C63" s="28"/>
      <c r="D63" s="34">
        <v>0</v>
      </c>
      <c r="E63" s="58"/>
      <c r="F63" s="28"/>
      <c r="G63" s="34">
        <v>0</v>
      </c>
      <c r="H63" s="58"/>
      <c r="I63" s="28"/>
      <c r="J63" s="34">
        <v>0</v>
      </c>
      <c r="K63" s="58"/>
      <c r="L63" s="28"/>
      <c r="M63" s="34">
        <v>0</v>
      </c>
    </row>
    <row r="64" spans="2:13" s="27" customFormat="1" ht="17" customHeight="1">
      <c r="B64" s="28" t="s">
        <v>44</v>
      </c>
      <c r="C64" s="90"/>
      <c r="D64" s="92">
        <f>C64*D49</f>
        <v>0</v>
      </c>
      <c r="E64" s="91"/>
      <c r="F64" s="90"/>
      <c r="G64" s="92">
        <f>F64*G49</f>
        <v>0</v>
      </c>
      <c r="H64" s="58"/>
      <c r="I64" s="90"/>
      <c r="J64" s="92">
        <f>I64*J49</f>
        <v>0</v>
      </c>
      <c r="K64" s="58"/>
      <c r="L64" s="90">
        <v>0.02</v>
      </c>
      <c r="M64" s="92">
        <f>L64*M49</f>
        <v>33</v>
      </c>
    </row>
    <row r="65" spans="2:13" s="27" customFormat="1" ht="17" customHeight="1">
      <c r="B65" s="83" t="s">
        <v>45</v>
      </c>
      <c r="C65" s="28"/>
      <c r="D65" s="35" t="e">
        <f>SUM(D52:D64)</f>
        <v>#DIV/0!</v>
      </c>
      <c r="E65" s="58"/>
      <c r="F65" s="28"/>
      <c r="G65" s="35" t="e">
        <f>SUM(G52:G64)</f>
        <v>#DIV/0!</v>
      </c>
      <c r="H65" s="58"/>
      <c r="I65" s="28"/>
      <c r="J65" s="35" t="e">
        <f>SUM(J52:J64)</f>
        <v>#DIV/0!</v>
      </c>
      <c r="K65" s="58"/>
      <c r="L65" s="28"/>
      <c r="M65" s="35">
        <f>SUM(M52:M64)</f>
        <v>472.33000000000004</v>
      </c>
    </row>
    <row r="66" spans="2:13" s="27" customFormat="1" ht="17" customHeight="1">
      <c r="B66" s="93" t="s">
        <v>46</v>
      </c>
      <c r="C66" s="28"/>
      <c r="D66" s="94" t="e">
        <f>D30</f>
        <v>#NUM!</v>
      </c>
      <c r="E66" s="58"/>
      <c r="F66" s="28"/>
      <c r="G66" s="94" t="e">
        <f>G30</f>
        <v>#NUM!</v>
      </c>
      <c r="H66" s="58"/>
      <c r="I66" s="28"/>
      <c r="J66" s="94" t="e">
        <f>J30</f>
        <v>#NUM!</v>
      </c>
      <c r="K66" s="58"/>
      <c r="L66" s="28"/>
      <c r="M66" s="94">
        <f>M30</f>
        <v>1758.2714106213393</v>
      </c>
    </row>
    <row r="67" spans="2:13" s="27" customFormat="1" ht="17" customHeight="1">
      <c r="B67" s="83" t="s">
        <v>47</v>
      </c>
      <c r="C67" s="28"/>
      <c r="D67" s="95" t="e">
        <f>SUM(D65:D66)</f>
        <v>#DIV/0!</v>
      </c>
      <c r="E67" s="96"/>
      <c r="F67" s="28"/>
      <c r="G67" s="95" t="e">
        <f>SUM(G65:G66)</f>
        <v>#DIV/0!</v>
      </c>
      <c r="H67" s="96"/>
      <c r="I67" s="28"/>
      <c r="J67" s="95" t="e">
        <f>SUM(J65:J66)</f>
        <v>#DIV/0!</v>
      </c>
      <c r="K67" s="96"/>
      <c r="L67" s="28"/>
      <c r="M67" s="95">
        <f>SUM(M65:M66)</f>
        <v>2230.6014106213393</v>
      </c>
    </row>
    <row r="68" spans="2:13" s="27" customFormat="1" ht="17" customHeight="1">
      <c r="B68" s="28"/>
      <c r="C68" s="28"/>
      <c r="D68" s="58"/>
      <c r="E68" s="58"/>
      <c r="F68" s="28"/>
      <c r="G68" s="58"/>
      <c r="H68" s="58"/>
      <c r="I68" s="28"/>
      <c r="J68" s="58"/>
      <c r="K68" s="58"/>
      <c r="L68" s="28"/>
      <c r="M68" s="58"/>
    </row>
    <row r="69" spans="2:13" s="27" customFormat="1" ht="17" customHeight="1">
      <c r="B69" s="44" t="s">
        <v>48</v>
      </c>
      <c r="C69" s="44"/>
      <c r="D69" s="45"/>
      <c r="E69" s="45"/>
      <c r="F69" s="44"/>
      <c r="G69" s="45"/>
      <c r="H69" s="45"/>
      <c r="I69" s="44"/>
      <c r="J69" s="45"/>
      <c r="K69" s="45"/>
      <c r="L69" s="44"/>
      <c r="M69" s="45"/>
    </row>
    <row r="70" spans="2:13" s="27" customFormat="1" ht="17" customHeight="1">
      <c r="B70" s="83" t="s">
        <v>49</v>
      </c>
      <c r="C70" s="28"/>
      <c r="D70" s="89" t="e">
        <f>D49-D67</f>
        <v>#DIV/0!</v>
      </c>
      <c r="E70" s="58"/>
      <c r="F70" s="28"/>
      <c r="G70" s="89" t="e">
        <f>G49-G67</f>
        <v>#DIV/0!</v>
      </c>
      <c r="H70" s="58"/>
      <c r="I70" s="28"/>
      <c r="J70" s="89" t="e">
        <f>J49-J67</f>
        <v>#DIV/0!</v>
      </c>
      <c r="K70" s="58"/>
      <c r="L70" s="28"/>
      <c r="M70" s="89">
        <f>M49-M67</f>
        <v>-580.60141062133926</v>
      </c>
    </row>
    <row r="71" spans="2:13" s="27" customFormat="1" ht="17" customHeight="1">
      <c r="B71" s="28"/>
      <c r="C71" s="28"/>
      <c r="D71" s="28"/>
      <c r="E71" s="48"/>
      <c r="F71" s="28"/>
      <c r="G71" s="28"/>
      <c r="H71" s="48"/>
      <c r="I71" s="28"/>
      <c r="J71" s="28"/>
      <c r="K71" s="48"/>
      <c r="L71" s="28"/>
      <c r="M71" s="28"/>
    </row>
    <row r="72" spans="2:13" s="27" customFormat="1" ht="17" customHeight="1">
      <c r="B72" s="107" t="s">
        <v>50</v>
      </c>
      <c r="C72" s="107"/>
      <c r="D72" s="108"/>
      <c r="E72" s="108"/>
      <c r="F72" s="107"/>
      <c r="G72" s="108"/>
      <c r="H72" s="108"/>
      <c r="I72" s="107"/>
      <c r="J72" s="108"/>
      <c r="K72" s="108"/>
      <c r="L72" s="107"/>
      <c r="M72" s="108"/>
    </row>
    <row r="73" spans="2:13" s="27" customFormat="1" ht="17" customHeight="1">
      <c r="B73" s="37" t="s">
        <v>51</v>
      </c>
      <c r="C73" s="37"/>
      <c r="D73" s="38" t="e">
        <f>D70*D27</f>
        <v>#DIV/0!</v>
      </c>
      <c r="E73" s="38"/>
      <c r="F73" s="37"/>
      <c r="G73" s="38" t="e">
        <f>G70*G27</f>
        <v>#DIV/0!</v>
      </c>
      <c r="H73" s="38"/>
      <c r="I73" s="37"/>
      <c r="J73" s="38" t="e">
        <f>J70*J27</f>
        <v>#DIV/0!</v>
      </c>
      <c r="K73" s="38"/>
      <c r="L73" s="37"/>
      <c r="M73" s="38">
        <f>M70*M27</f>
        <v>-34836.084637280357</v>
      </c>
    </row>
    <row r="74" spans="2:13" s="27" customFormat="1" ht="17" customHeight="1">
      <c r="B74" s="37" t="s">
        <v>52</v>
      </c>
      <c r="C74" s="37"/>
      <c r="D74" s="38" t="e">
        <f>D22+FV(D24,D25*D26,-D30,D22)</f>
        <v>#NUM!</v>
      </c>
      <c r="E74" s="38"/>
      <c r="F74" s="37"/>
      <c r="G74" s="38" t="e">
        <f>G22+FV(G24,G25*G26,-G30,G22)</f>
        <v>#NUM!</v>
      </c>
      <c r="H74" s="38"/>
      <c r="I74" s="37"/>
      <c r="J74" s="38" t="e">
        <f>J22+FV(J24,J25*J26,-J30,J22)</f>
        <v>#NUM!</v>
      </c>
      <c r="K74" s="38"/>
      <c r="L74" s="37"/>
      <c r="M74" s="38">
        <f>M22+FV(M24,M25*M26,-M30,M22)</f>
        <v>58919.533682123874</v>
      </c>
    </row>
    <row r="75" spans="2:13" s="27" customFormat="1" ht="17" customHeight="1">
      <c r="B75" s="37" t="s">
        <v>53</v>
      </c>
      <c r="C75" s="90">
        <f>0.124/5</f>
        <v>2.4799999999999999E-2</v>
      </c>
      <c r="D75" s="43">
        <f>D18*(1+C75)^5-D18</f>
        <v>0</v>
      </c>
      <c r="E75" s="43"/>
      <c r="F75" s="90">
        <f>0.124/5</f>
        <v>2.4799999999999999E-2</v>
      </c>
      <c r="G75" s="43">
        <f>G18*(1+F75)^5-G18</f>
        <v>0</v>
      </c>
      <c r="H75" s="43"/>
      <c r="I75" s="90">
        <f>0.124/5</f>
        <v>2.4799999999999999E-2</v>
      </c>
      <c r="J75" s="43">
        <f>J18*(1+I75)^5-J18</f>
        <v>0</v>
      </c>
      <c r="K75" s="43"/>
      <c r="L75" s="90">
        <v>0.03</v>
      </c>
      <c r="M75" s="43">
        <f>M18*(1+L75)^5-M18</f>
        <v>77247.926035499899</v>
      </c>
    </row>
    <row r="76" spans="2:13" s="27" customFormat="1" ht="17" customHeight="1">
      <c r="B76" s="37" t="s">
        <v>54</v>
      </c>
      <c r="C76" s="37"/>
      <c r="D76" s="49">
        <v>0</v>
      </c>
      <c r="E76" s="43"/>
      <c r="F76" s="37"/>
      <c r="G76" s="49"/>
      <c r="H76" s="43"/>
      <c r="I76" s="37"/>
      <c r="J76" s="49"/>
      <c r="K76" s="43"/>
      <c r="L76" s="37"/>
      <c r="M76" s="49">
        <v>0</v>
      </c>
    </row>
    <row r="77" spans="2:13" s="27" customFormat="1" ht="17" customHeight="1">
      <c r="B77" s="42" t="s">
        <v>55</v>
      </c>
      <c r="C77" s="37"/>
      <c r="D77" s="38" t="e">
        <f>SUM(D73:D76)</f>
        <v>#DIV/0!</v>
      </c>
      <c r="E77" s="38"/>
      <c r="F77" s="37"/>
      <c r="G77" s="38" t="e">
        <f>SUM(G73:G76)</f>
        <v>#DIV/0!</v>
      </c>
      <c r="H77" s="38"/>
      <c r="I77" s="37"/>
      <c r="J77" s="38" t="e">
        <f>SUM(J73:J76)</f>
        <v>#DIV/0!</v>
      </c>
      <c r="K77" s="38"/>
      <c r="L77" s="37"/>
      <c r="M77" s="38">
        <f>SUM(M73:M76)</f>
        <v>101331.37508034342</v>
      </c>
    </row>
    <row r="78" spans="2:13" s="27" customFormat="1" ht="17" customHeight="1">
      <c r="B78" s="37"/>
      <c r="C78" s="37"/>
      <c r="D78" s="38"/>
      <c r="E78" s="38"/>
      <c r="F78" s="37"/>
      <c r="G78" s="38"/>
      <c r="H78" s="38"/>
      <c r="I78" s="37"/>
      <c r="J78" s="38"/>
      <c r="K78" s="38"/>
      <c r="L78" s="37"/>
      <c r="M78" s="38"/>
    </row>
    <row r="79" spans="2:13" s="27" customFormat="1" ht="17" customHeight="1">
      <c r="B79" s="37" t="s">
        <v>56</v>
      </c>
      <c r="C79" s="37"/>
      <c r="D79" s="38">
        <f>D21+D40</f>
        <v>-2000</v>
      </c>
      <c r="E79" s="37"/>
      <c r="F79" s="37"/>
      <c r="G79" s="38">
        <f>G21+G40</f>
        <v>-2000</v>
      </c>
      <c r="H79" s="38"/>
      <c r="I79" s="37"/>
      <c r="J79" s="38">
        <f>J21+J40</f>
        <v>-2000</v>
      </c>
      <c r="K79" s="38"/>
      <c r="L79" s="37"/>
      <c r="M79" s="38">
        <f>M21+M40</f>
        <v>106900</v>
      </c>
    </row>
    <row r="80" spans="2:13" s="27" customFormat="1" ht="17" customHeight="1">
      <c r="B80" s="40"/>
      <c r="C80" s="37"/>
      <c r="D80" s="97"/>
      <c r="E80" s="98"/>
      <c r="F80" s="37"/>
      <c r="G80" s="97"/>
      <c r="H80" s="38"/>
      <c r="I80" s="37"/>
      <c r="J80" s="97"/>
      <c r="K80" s="38"/>
      <c r="L80" s="37"/>
      <c r="M80" s="97"/>
    </row>
    <row r="81" spans="2:13" s="27" customFormat="1" ht="17" customHeight="1">
      <c r="B81" s="42" t="s">
        <v>57</v>
      </c>
      <c r="C81" s="37"/>
      <c r="D81" s="99" t="e">
        <f>D77/D79</f>
        <v>#DIV/0!</v>
      </c>
      <c r="E81" s="100"/>
      <c r="F81" s="37"/>
      <c r="G81" s="99" t="e">
        <f>G77/G79</f>
        <v>#DIV/0!</v>
      </c>
      <c r="H81" s="99"/>
      <c r="I81" s="37"/>
      <c r="J81" s="99" t="e">
        <f>J77/J79</f>
        <v>#DIV/0!</v>
      </c>
      <c r="K81" s="99"/>
      <c r="L81" s="37"/>
      <c r="M81" s="99">
        <f>M77/M79</f>
        <v>0.94790809242603769</v>
      </c>
    </row>
    <row r="82" spans="2:13" s="27" customFormat="1" ht="17" customHeight="1">
      <c r="B82" s="125" t="s">
        <v>58</v>
      </c>
      <c r="C82" s="126"/>
      <c r="D82" s="127" t="e">
        <f>D81/D25</f>
        <v>#DIV/0!</v>
      </c>
      <c r="E82" s="112"/>
      <c r="F82" s="126"/>
      <c r="G82" s="127" t="e">
        <f>G81/G25</f>
        <v>#DIV/0!</v>
      </c>
      <c r="H82" s="112"/>
      <c r="I82" s="126"/>
      <c r="J82" s="127" t="e">
        <f>J81/J25</f>
        <v>#DIV/0!</v>
      </c>
      <c r="K82" s="112"/>
      <c r="L82" s="126"/>
      <c r="M82" s="127">
        <f>M81/M25</f>
        <v>0.18958161848520755</v>
      </c>
    </row>
    <row r="83" spans="2:13" s="27" customFormat="1" ht="17" customHeight="1">
      <c r="D83" s="72"/>
    </row>
    <row r="84" spans="2:13" ht="25" customHeight="1">
      <c r="B84" s="10"/>
      <c r="C84" s="10"/>
      <c r="D84" s="10"/>
      <c r="E84" s="134" t="s">
        <v>78</v>
      </c>
      <c r="F84" s="134"/>
      <c r="G84" s="134"/>
      <c r="H84" s="134"/>
      <c r="I84" s="134"/>
      <c r="J84" s="134"/>
      <c r="K84" s="134"/>
      <c r="L84" s="134"/>
      <c r="M84" s="134"/>
    </row>
  </sheetData>
  <mergeCells count="1">
    <mergeCell ref="E84:M84"/>
  </mergeCells>
  <phoneticPr fontId="13" type="noConversion"/>
  <printOptions horizontalCentered="1"/>
  <pageMargins left="0.75000000000000011" right="0.75000000000000011" top="1" bottom="1" header="0.5" footer="0.5"/>
  <pageSetup scale="68" fitToHeight="2" orientation="landscape" horizontalDpi="4294967292" verticalDpi="4294967292"/>
  <drawing r:id="rId1"/>
  <legacy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Renovation ROI</vt:lpstr>
      <vt:lpstr>Purchase costs</vt:lpstr>
      <vt:lpstr>Ongoing costs</vt:lpstr>
      <vt:lpstr>Selling costs</vt:lpstr>
      <vt:lpstr>Investment cashflow and ROI</vt:lpstr>
    </vt:vector>
  </TitlesOfParts>
  <Company>Macdonald Realty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Hutchison</dc:creator>
  <cp:lastModifiedBy>Jason Hutchison</cp:lastModifiedBy>
  <cp:lastPrinted>2016-02-10T02:23:16Z</cp:lastPrinted>
  <dcterms:created xsi:type="dcterms:W3CDTF">2014-08-17T21:22:50Z</dcterms:created>
  <dcterms:modified xsi:type="dcterms:W3CDTF">2016-10-27T19:47:57Z</dcterms:modified>
</cp:coreProperties>
</file>